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Conciliación Bancaria" sheetId="2" r:id="rId5"/>
    <sheet state="hidden" name="DV-IDENTITY-0" sheetId="3" r:id="rId6"/>
  </sheets>
  <definedNames>
    <definedName name="Imprimir">'Conciliación Bancaria'!$A$15:$W$38</definedName>
  </definedNames>
  <calcPr/>
</workbook>
</file>

<file path=xl/sharedStrings.xml><?xml version="1.0" encoding="utf-8"?>
<sst xmlns="http://schemas.openxmlformats.org/spreadsheetml/2006/main" count="51" uniqueCount="28">
  <si>
    <t>Muchas gracias por descargar el documento. Está en la hoja 2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</si>
  <si>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 xml:space="preserve">más plantillas </t>
    </r>
    <r>
      <rPr>
        <rFont val="Arial"/>
        <color rgb="FF000000"/>
        <sz val="11.0"/>
      </rPr>
      <t>en formato excel accede a:</t>
    </r>
  </si>
  <si>
    <t>https://plantillas-excel.net</t>
  </si>
  <si>
    <t>CONCILIACIÓN BANCARIA</t>
  </si>
  <si>
    <t>Empresa:</t>
  </si>
  <si>
    <t>Fecha</t>
  </si>
  <si>
    <t>Banco:</t>
  </si>
  <si>
    <t>Saldo Extracto Banco</t>
  </si>
  <si>
    <t>Cta Cont.</t>
  </si>
  <si>
    <t>Saldo Cta. Contable</t>
  </si>
  <si>
    <t># Cta Corriente:</t>
  </si>
  <si>
    <t>a) Pagos Banco no Contabilidad</t>
  </si>
  <si>
    <t>a-b-c+d</t>
  </si>
  <si>
    <t>b) Cobros Banco no Contabilidad</t>
  </si>
  <si>
    <t>c) Pagos  Contabilidad no Banco</t>
  </si>
  <si>
    <t>Diferencia</t>
  </si>
  <si>
    <t>d) Cobros  Contabilidad no Banco</t>
  </si>
  <si>
    <t>Introducir los PAGOS en extracto bancario no conciliados con movimientos en la cuenta contable en signo positivo</t>
  </si>
  <si>
    <t>Concepto</t>
  </si>
  <si>
    <t>Importe</t>
  </si>
  <si>
    <t>Observaciones</t>
  </si>
  <si>
    <t>Clave Conciliación</t>
  </si>
  <si>
    <t>Total</t>
  </si>
  <si>
    <t>Introducir los COBROS en extracto bancario no conciliados con movimientos en la cuenta contable en signo positivo</t>
  </si>
  <si>
    <t>Introducir los PAGOS en contabilidad no conciliados con movimientos del extracto bancario en signo positivo</t>
  </si>
  <si>
    <t>i</t>
  </si>
  <si>
    <t>Introducir los COBROS en contabilidad no conciliados con movimientos del extracto bancario en signo positivo</t>
  </si>
  <si>
    <t>AAAAADb9/wU=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</si>
</sst>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#,##0.00_ ;[Red]\-#,##0.00\ "/>
  </numFmts>
  <fonts count="21">
    <font>
      <sz val="10.0"/>
      <color rgb="FF000000"/>
      <name val="Arial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b/>
      <sz val="24.0"/>
      <color theme="0"/>
      <name val="Comfortaa"/>
    </font>
    <font>
      <sz val="10.0"/>
      <color theme="1"/>
      <name val="Lato"/>
    </font>
    <font>
      <sz val="10.0"/>
      <color theme="1"/>
      <name val="Comfortaa"/>
    </font>
    <font>
      <b/>
      <sz val="10.0"/>
      <color rgb="FF1EAF4E"/>
      <name val="Comfortaa"/>
    </font>
    <font>
      <b/>
      <sz val="10.0"/>
      <color theme="1"/>
      <name val="Comfortaa"/>
    </font>
    <font>
      <b/>
      <sz val="10.0"/>
      <color rgb="FFF2F2F2"/>
      <name val="Comfortaa"/>
    </font>
    <font>
      <b/>
      <sz val="10.0"/>
      <color theme="0"/>
      <name val="Comfortaa"/>
    </font>
    <font>
      <sz val="10.0"/>
      <color rgb="FF1EAF4E"/>
      <name val="Comfortaa"/>
    </font>
    <font>
      <sz val="12.0"/>
      <color theme="1"/>
      <name val="Lato"/>
    </font>
    <font>
      <sz val="11.0"/>
      <color rgb="FF3C4043"/>
      <name val="Roboto"/>
    </font>
    <font>
      <sz val="10.0"/>
      <color rgb="FF595959"/>
      <name val="Comfortaa"/>
    </font>
    <font>
      <u/>
      <sz val="10.0"/>
      <color theme="10"/>
      <name val="Lato"/>
    </font>
    <font>
      <b/>
      <sz val="10.0"/>
      <color rgb="FF595959"/>
      <name val="Comfortaa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547"/>
        <bgColor rgb="FFFFB547"/>
      </patternFill>
    </fill>
    <fill>
      <patternFill patternType="solid">
        <fgColor rgb="FF1EAF4E"/>
        <bgColor rgb="FF1EAF4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27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medium">
        <color rgb="FFD8D8D8"/>
      </bottom>
    </border>
    <border>
      <left style="medium">
        <color rgb="FFD8D8D8"/>
      </left>
      <top style="medium">
        <color rgb="FFD8D8D8"/>
      </top>
      <bottom style="medium">
        <color rgb="FFD8D8D8"/>
      </bottom>
    </border>
    <border>
      <right/>
      <top style="medium">
        <color rgb="FFD8D8D8"/>
      </top>
      <bottom style="medium">
        <color rgb="FFD8D8D8"/>
      </bottom>
    </border>
    <border>
      <left/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rgb="FFD8D8D8"/>
      </left>
      <right/>
      <top style="medium">
        <color rgb="FFD8D8D8"/>
      </top>
      <bottom style="medium">
        <color rgb="FFD8D8D8"/>
      </bottom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/>
      <right style="medium">
        <color rgb="FFD8D8D8"/>
      </right>
      <top style="medium">
        <color rgb="FFD8D8D8"/>
      </top>
      <bottom/>
    </border>
    <border>
      <top style="medium">
        <color rgb="FFD8D8D8"/>
      </top>
      <bottom style="medium">
        <color rgb="FFD8D8D8"/>
      </bottom>
    </border>
    <border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rgb="FFD8D8D8"/>
      </left>
      <right style="medium">
        <color rgb="FFD8D8D8"/>
      </right>
      <top style="medium">
        <color rgb="FFD8D8D8"/>
      </top>
      <bottom/>
    </border>
    <border>
      <left style="medium">
        <color rgb="FFD8D8D8"/>
      </left>
      <right style="hair">
        <color rgb="FFD8D8D8"/>
      </right>
      <top style="medium">
        <color rgb="FFD8D8D8"/>
      </top>
      <bottom style="hair">
        <color rgb="FFD8D8D8"/>
      </bottom>
    </border>
    <border>
      <left style="hair">
        <color rgb="FFD8D8D8"/>
      </left>
      <right style="hair">
        <color rgb="FFD8D8D8"/>
      </right>
      <top style="medium">
        <color rgb="FFD8D8D8"/>
      </top>
      <bottom style="hair">
        <color rgb="FFD8D8D8"/>
      </bottom>
    </border>
    <border>
      <left style="hair">
        <color rgb="FFD8D8D8"/>
      </left>
      <right style="medium">
        <color rgb="FFD8D8D8"/>
      </right>
      <top style="medium">
        <color rgb="FFD8D8D8"/>
      </top>
      <bottom style="hair">
        <color rgb="FFD8D8D8"/>
      </bottom>
    </border>
    <border>
      <left style="medium">
        <color rgb="FFD8D8D8"/>
      </left>
      <right style="hair">
        <color rgb="FFD8D8D8"/>
      </right>
      <top style="hair">
        <color rgb="FFD8D8D8"/>
      </top>
      <bottom style="hair">
        <color rgb="FFD8D8D8"/>
      </bottom>
    </border>
    <border>
      <left style="hair">
        <color rgb="FFD8D8D8"/>
      </left>
      <right style="hair">
        <color rgb="FFD8D8D8"/>
      </right>
      <top style="hair">
        <color rgb="FFD8D8D8"/>
      </top>
      <bottom style="hair">
        <color rgb="FFD8D8D8"/>
      </bottom>
    </border>
    <border>
      <left style="hair">
        <color rgb="FFD8D8D8"/>
      </left>
      <right style="medium">
        <color rgb="FFD8D8D8"/>
      </right>
      <top style="hair">
        <color rgb="FFD8D8D8"/>
      </top>
      <bottom style="hair">
        <color rgb="FFD8D8D8"/>
      </bottom>
    </border>
    <border>
      <left style="medium">
        <color rgb="FFD8D8D8"/>
      </left>
      <right style="hair">
        <color rgb="FFD8D8D8"/>
      </right>
      <top style="hair">
        <color rgb="FFD8D8D8"/>
      </top>
      <bottom style="medium">
        <color rgb="FFD8D8D8"/>
      </bottom>
    </border>
    <border>
      <left style="hair">
        <color rgb="FFD8D8D8"/>
      </left>
      <right style="hair">
        <color rgb="FFD8D8D8"/>
      </right>
      <top style="hair">
        <color rgb="FFD8D8D8"/>
      </top>
      <bottom style="medium">
        <color rgb="FFD8D8D8"/>
      </bottom>
    </border>
    <border>
      <left style="hair">
        <color rgb="FFD8D8D8"/>
      </left>
      <right style="medium">
        <color rgb="FFD8D8D8"/>
      </right>
      <top style="hair">
        <color rgb="FFD8D8D8"/>
      </top>
      <bottom style="medium">
        <color rgb="FFD8D8D8"/>
      </bottom>
    </border>
    <border>
      <left style="medium">
        <color rgb="FFD8D8D8"/>
      </left>
      <right style="hair">
        <color rgb="FFD8D8D8"/>
      </right>
      <top/>
      <bottom style="medium">
        <color rgb="FFD8D8D8"/>
      </bottom>
    </border>
    <border>
      <left style="hair">
        <color rgb="FFD8D8D8"/>
      </left>
      <right style="medium">
        <color rgb="FFD8D8D8"/>
      </right>
      <bottom style="medium">
        <color rgb="FFD8D8D8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Border="1" applyFont="1"/>
    <xf borderId="2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 readingOrder="0"/>
    </xf>
    <xf borderId="2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 readingOrder="0"/>
    </xf>
    <xf borderId="4" fillId="0" fontId="4" numFmtId="0" xfId="0" applyBorder="1" applyFont="1"/>
    <xf borderId="5" fillId="0" fontId="4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3" fillId="3" fontId="6" numFmtId="0" xfId="0" applyAlignment="1" applyBorder="1" applyFill="1" applyFont="1">
      <alignment horizontal="center" readingOrder="0" vertical="center"/>
    </xf>
    <xf borderId="3" fillId="0" fontId="7" numFmtId="0" xfId="0" applyAlignment="1" applyBorder="1" applyFont="1">
      <alignment horizontal="center"/>
    </xf>
    <xf borderId="0" fillId="4" fontId="8" numFmtId="0" xfId="0" applyAlignment="1" applyFill="1" applyFont="1">
      <alignment horizontal="center" readingOrder="0" shrinkToFit="0" vertical="center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horizontal="right" shrinkToFit="0" vertical="bottom" wrapText="0"/>
    </xf>
    <xf borderId="6" fillId="0" fontId="10" numFmtId="0" xfId="0" applyAlignment="1" applyBorder="1" applyFont="1">
      <alignment shrinkToFit="0" vertical="bottom" wrapText="0"/>
    </xf>
    <xf borderId="6" fillId="0" fontId="12" numFmtId="164" xfId="0" applyAlignment="1" applyBorder="1" applyFont="1" applyNumberFormat="1">
      <alignment horizontal="center" shrinkToFit="0" vertical="bottom" wrapText="0"/>
    </xf>
    <xf borderId="6" fillId="0" fontId="12" numFmtId="165" xfId="0" applyAlignment="1" applyBorder="1" applyFont="1" applyNumberFormat="1">
      <alignment shrinkToFit="0" vertical="bottom" wrapText="0"/>
    </xf>
    <xf borderId="0" fillId="0" fontId="11" numFmtId="0" xfId="0" applyAlignment="1" applyFont="1">
      <alignment horizontal="right" shrinkToFit="0" vertical="bottom" wrapText="1"/>
    </xf>
    <xf borderId="7" fillId="4" fontId="13" numFmtId="0" xfId="0" applyAlignment="1" applyBorder="1" applyFont="1">
      <alignment horizontal="center" shrinkToFit="0" vertical="bottom" wrapText="0"/>
    </xf>
    <xf borderId="8" fillId="0" fontId="4" numFmtId="0" xfId="0" applyBorder="1" applyFont="1"/>
    <xf borderId="9" fillId="2" fontId="11" numFmtId="165" xfId="0" applyAlignment="1" applyBorder="1" applyFont="1" applyNumberFormat="1">
      <alignment horizontal="center" shrinkToFit="0" vertical="bottom" wrapText="0"/>
    </xf>
    <xf borderId="10" fillId="5" fontId="12" numFmtId="0" xfId="0" applyAlignment="1" applyBorder="1" applyFill="1" applyFont="1">
      <alignment horizontal="center" shrinkToFit="0" vertical="bottom" wrapText="0"/>
    </xf>
    <xf borderId="11" fillId="5" fontId="11" numFmtId="165" xfId="0" applyAlignment="1" applyBorder="1" applyFont="1" applyNumberFormat="1">
      <alignment shrinkToFit="0" vertical="bottom" wrapText="0"/>
    </xf>
    <xf borderId="12" fillId="2" fontId="11" numFmtId="165" xfId="0" applyAlignment="1" applyBorder="1" applyFont="1" applyNumberFormat="1">
      <alignment horizontal="center" shrinkToFit="0" vertical="bottom" wrapText="0"/>
    </xf>
    <xf borderId="7" fillId="4" fontId="14" numFmtId="0" xfId="0" applyAlignment="1" applyBorder="1" applyFont="1">
      <alignment horizontal="center" shrinkToFit="0" vertical="bottom" wrapText="0"/>
    </xf>
    <xf borderId="9" fillId="2" fontId="15" numFmtId="165" xfId="0" applyAlignment="1" applyBorder="1" applyFont="1" applyNumberFormat="1">
      <alignment horizontal="center" shrinkToFit="0" vertical="bottom" wrapText="0"/>
    </xf>
    <xf borderId="7" fillId="4" fontId="13" numFmtId="0" xfId="0" applyAlignment="1" applyBorder="1" applyFont="1">
      <alignment horizontal="center" shrinkToFit="0" vertical="center" wrapText="0"/>
    </xf>
    <xf borderId="13" fillId="0" fontId="4" numFmtId="0" xfId="0" applyBorder="1" applyFont="1"/>
    <xf borderId="14" fillId="0" fontId="4" numFmtId="0" xfId="0" applyBorder="1" applyFont="1"/>
    <xf borderId="0" fillId="0" fontId="16" numFmtId="0" xfId="0" applyAlignment="1" applyFont="1">
      <alignment shrinkToFit="0" vertical="bottom" wrapText="0"/>
    </xf>
    <xf borderId="7" fillId="0" fontId="10" numFmtId="0" xfId="0" applyAlignment="1" applyBorder="1" applyFont="1">
      <alignment horizontal="center" shrinkToFit="0" vertical="bottom" wrapText="0"/>
    </xf>
    <xf borderId="0" fillId="6" fontId="17" numFmtId="0" xfId="0" applyAlignment="1" applyFill="1" applyFont="1">
      <alignment horizontal="left" readingOrder="0" shrinkToFit="0" vertical="center" wrapText="1"/>
    </xf>
    <xf borderId="15" fillId="4" fontId="14" numFmtId="0" xfId="0" applyAlignment="1" applyBorder="1" applyFont="1">
      <alignment horizontal="center" shrinkToFit="0" vertical="center" wrapText="1"/>
    </xf>
    <xf borderId="15" fillId="4" fontId="14" numFmtId="4" xfId="0" applyAlignment="1" applyBorder="1" applyFont="1" applyNumberFormat="1">
      <alignment horizontal="center" shrinkToFit="0" vertical="center" wrapText="1"/>
    </xf>
    <xf borderId="16" fillId="0" fontId="18" numFmtId="15" xfId="0" applyAlignment="1" applyBorder="1" applyFont="1" applyNumberFormat="1">
      <alignment shrinkToFit="0" vertical="bottom" wrapText="0"/>
    </xf>
    <xf borderId="17" fillId="0" fontId="18" numFmtId="4" xfId="0" applyAlignment="1" applyBorder="1" applyFont="1" applyNumberFormat="1">
      <alignment shrinkToFit="0" vertical="bottom" wrapText="0"/>
    </xf>
    <xf borderId="17" fillId="0" fontId="18" numFmtId="165" xfId="0" applyAlignment="1" applyBorder="1" applyFont="1" applyNumberFormat="1">
      <alignment shrinkToFit="0" vertical="bottom" wrapText="0"/>
    </xf>
    <xf borderId="17" fillId="0" fontId="18" numFmtId="0" xfId="0" applyAlignment="1" applyBorder="1" applyFont="1">
      <alignment shrinkToFit="0" vertical="bottom" wrapText="0"/>
    </xf>
    <xf borderId="18" fillId="0" fontId="18" numFmtId="0" xfId="0" applyAlignment="1" applyBorder="1" applyFont="1">
      <alignment shrinkToFit="0" vertical="bottom" wrapText="0"/>
    </xf>
    <xf borderId="19" fillId="0" fontId="18" numFmtId="15" xfId="0" applyAlignment="1" applyBorder="1" applyFont="1" applyNumberFormat="1">
      <alignment shrinkToFit="0" vertical="bottom" wrapText="0"/>
    </xf>
    <xf borderId="20" fillId="0" fontId="18" numFmtId="4" xfId="0" applyAlignment="1" applyBorder="1" applyFont="1" applyNumberFormat="1">
      <alignment shrinkToFit="0" vertical="bottom" wrapText="0"/>
    </xf>
    <xf borderId="20" fillId="0" fontId="18" numFmtId="165" xfId="0" applyAlignment="1" applyBorder="1" applyFont="1" applyNumberFormat="1">
      <alignment shrinkToFit="0" vertical="bottom" wrapText="0"/>
    </xf>
    <xf borderId="20" fillId="0" fontId="18" numFmtId="0" xfId="0" applyAlignment="1" applyBorder="1" applyFont="1">
      <alignment shrinkToFit="0" vertical="bottom" wrapText="0"/>
    </xf>
    <xf borderId="21" fillId="0" fontId="18" numFmtId="0" xfId="0" applyAlignment="1" applyBorder="1" applyFont="1">
      <alignment shrinkToFit="0" vertical="bottom" wrapText="0"/>
    </xf>
    <xf borderId="0" fillId="0" fontId="19" numFmtId="0" xfId="0" applyAlignment="1" applyFont="1">
      <alignment shrinkToFit="0" vertical="center" wrapText="0"/>
    </xf>
    <xf borderId="22" fillId="0" fontId="18" numFmtId="15" xfId="0" applyAlignment="1" applyBorder="1" applyFont="1" applyNumberFormat="1">
      <alignment shrinkToFit="0" vertical="bottom" wrapText="0"/>
    </xf>
    <xf borderId="23" fillId="0" fontId="18" numFmtId="4" xfId="0" applyAlignment="1" applyBorder="1" applyFont="1" applyNumberFormat="1">
      <alignment shrinkToFit="0" vertical="bottom" wrapText="0"/>
    </xf>
    <xf borderId="23" fillId="0" fontId="18" numFmtId="165" xfId="0" applyAlignment="1" applyBorder="1" applyFont="1" applyNumberFormat="1">
      <alignment shrinkToFit="0" vertical="bottom" wrapText="0"/>
    </xf>
    <xf borderId="23" fillId="0" fontId="18" numFmtId="0" xfId="0" applyAlignment="1" applyBorder="1" applyFont="1">
      <alignment shrinkToFit="0" vertical="bottom" wrapText="0"/>
    </xf>
    <xf borderId="24" fillId="0" fontId="18" numFmtId="0" xfId="0" applyAlignment="1" applyBorder="1" applyFont="1">
      <alignment shrinkToFit="0" vertical="bottom" wrapText="0"/>
    </xf>
    <xf borderId="0" fillId="0" fontId="10" numFmtId="15" xfId="0" applyAlignment="1" applyFont="1" applyNumberFormat="1">
      <alignment shrinkToFit="0" vertical="bottom" wrapText="0"/>
    </xf>
    <xf borderId="25" fillId="5" fontId="20" numFmtId="0" xfId="0" applyAlignment="1" applyBorder="1" applyFont="1">
      <alignment horizontal="center" shrinkToFit="0" vertical="bottom" wrapText="0"/>
    </xf>
    <xf borderId="26" fillId="0" fontId="11" numFmtId="165" xfId="0" applyAlignment="1" applyBorder="1" applyFont="1" applyNumberFormat="1">
      <alignment horizontal="center" shrinkToFit="0" vertical="bottom" wrapText="0"/>
    </xf>
    <xf borderId="0" fillId="0" fontId="9" numFmtId="15" xfId="0" applyAlignment="1" applyFont="1" applyNumberFormat="1">
      <alignment shrinkToFit="0" vertical="bottom" wrapText="0"/>
    </xf>
    <xf borderId="0" fillId="0" fontId="10" numFmtId="165" xfId="0" applyAlignment="1" applyFont="1" applyNumberFormat="1">
      <alignment shrinkToFit="0" vertical="bottom" wrapText="0"/>
    </xf>
    <xf borderId="0" fillId="0" fontId="10" numFmtId="164" xfId="0" applyAlignment="1" applyFont="1" applyNumberFormat="1">
      <alignment shrinkToFit="0" vertical="bottom" wrapText="0"/>
    </xf>
    <xf borderId="7" fillId="0" fontId="12" numFmtId="0" xfId="0" applyAlignment="1" applyBorder="1" applyFont="1">
      <alignment horizontal="center" shrinkToFit="0" vertical="center" wrapText="0"/>
    </xf>
    <xf borderId="7" fillId="4" fontId="14" numFmtId="0" xfId="0" applyAlignment="1" applyBorder="1" applyFont="1">
      <alignment horizontal="center" shrinkToFit="0" vertical="center" wrapText="0"/>
    </xf>
    <xf borderId="0" fillId="6" fontId="17" numFmtId="0" xfId="0" applyAlignment="1" applyFont="1">
      <alignment horizontal="left" readingOrder="0" shrinkToFit="0" wrapText="1"/>
    </xf>
    <xf borderId="11" fillId="0" fontId="12" numFmtId="0" xfId="0" applyAlignment="1" applyBorder="1" applyFont="1">
      <alignment horizontal="center" shrinkToFit="0" vertical="center" wrapText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</row>
    <row r="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</row>
    <row r="5">
      <c r="A5" s="8"/>
      <c r="B5" s="9" t="s">
        <v>1</v>
      </c>
      <c r="C5" s="10"/>
      <c r="D5" s="10"/>
      <c r="E5" s="10"/>
      <c r="F5" s="10"/>
      <c r="G5" s="11"/>
      <c r="H5" s="6"/>
      <c r="I5" s="6"/>
      <c r="J5" s="6"/>
      <c r="K5" s="6"/>
      <c r="L5" s="7"/>
      <c r="M5" s="7"/>
      <c r="N5" s="7"/>
      <c r="O5" s="7"/>
      <c r="P5" s="7"/>
    </row>
    <row r="6">
      <c r="A6" s="8"/>
      <c r="B6" s="8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</row>
    <row r="7">
      <c r="A7" s="12"/>
      <c r="B7" s="13"/>
      <c r="C7" s="13"/>
      <c r="D7" s="13"/>
      <c r="E7" s="13"/>
      <c r="F7" s="13"/>
      <c r="G7" s="6"/>
      <c r="H7" s="6"/>
      <c r="I7" s="6"/>
      <c r="J7" s="6"/>
      <c r="K7" s="6"/>
      <c r="L7" s="7"/>
      <c r="M7" s="7"/>
      <c r="N7" s="7"/>
      <c r="O7" s="7"/>
      <c r="P7" s="7"/>
    </row>
    <row r="8" ht="25.5" customHeight="1">
      <c r="A8" s="12"/>
      <c r="B8" s="14" t="s">
        <v>2</v>
      </c>
      <c r="C8" s="10"/>
      <c r="D8" s="10"/>
      <c r="E8" s="10"/>
      <c r="F8" s="11"/>
      <c r="G8" s="6"/>
      <c r="H8" s="6"/>
      <c r="I8" s="6"/>
      <c r="J8" s="6"/>
      <c r="K8" s="6"/>
      <c r="L8" s="7"/>
      <c r="M8" s="7"/>
      <c r="N8" s="7"/>
      <c r="O8" s="7"/>
      <c r="P8" s="7"/>
    </row>
    <row r="9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</row>
    <row r="10">
      <c r="A10" s="8"/>
      <c r="B10" s="8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</row>
    <row r="11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</row>
    <row r="12">
      <c r="A12" s="8"/>
      <c r="B12" s="8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</row>
    <row r="13">
      <c r="A13" s="12"/>
      <c r="B13" s="15"/>
      <c r="C13" s="10"/>
      <c r="D13" s="10"/>
      <c r="E13" s="10"/>
      <c r="F13" s="11"/>
      <c r="G13" s="6"/>
      <c r="H13" s="6"/>
      <c r="I13" s="6"/>
      <c r="J13" s="6"/>
      <c r="K13" s="6"/>
      <c r="L13" s="7"/>
      <c r="M13" s="7"/>
      <c r="N13" s="7"/>
      <c r="O13" s="7"/>
      <c r="P13" s="7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  <c r="P20" s="7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7.57"/>
    <col customWidth="1" min="2" max="2" width="50.0"/>
    <col customWidth="1" min="3" max="3" width="16.14"/>
    <col customWidth="1" min="4" max="4" width="37.86"/>
    <col customWidth="1" min="5" max="5" width="14.71"/>
    <col customWidth="1" min="6" max="6" width="2.57"/>
    <col customWidth="1" min="7" max="7" width="11.86"/>
    <col customWidth="1" min="8" max="8" width="22.14"/>
    <col customWidth="1" min="9" max="9" width="13.43"/>
    <col customWidth="1" min="10" max="10" width="29.71"/>
    <col customWidth="1" min="11" max="11" width="9.0"/>
    <col customWidth="1" min="12" max="12" width="2.71"/>
    <col customWidth="1" min="13" max="13" width="9.14"/>
    <col customWidth="1" min="14" max="25" width="10.0"/>
  </cols>
  <sheetData>
    <row r="1" ht="57.0" customHeight="1">
      <c r="A1" s="16" t="s">
        <v>3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ht="12.75" customHeight="1">
      <c r="A2" s="18"/>
      <c r="B2" s="18"/>
      <c r="C2" s="18"/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5.75" customHeight="1">
      <c r="A3" s="19" t="s">
        <v>4</v>
      </c>
      <c r="B3" s="20"/>
      <c r="C3" s="18"/>
      <c r="D3" s="19" t="s">
        <v>5</v>
      </c>
      <c r="E3" s="2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ht="15.75" customHeight="1">
      <c r="A4" s="19" t="s">
        <v>6</v>
      </c>
      <c r="B4" s="20"/>
      <c r="C4" s="18"/>
      <c r="D4" s="19" t="s">
        <v>7</v>
      </c>
      <c r="E4" s="22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5.75" customHeight="1">
      <c r="A5" s="19" t="s">
        <v>8</v>
      </c>
      <c r="B5" s="20"/>
      <c r="C5" s="18"/>
      <c r="D5" s="19" t="s">
        <v>9</v>
      </c>
      <c r="E5" s="22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41.25" customHeight="1">
      <c r="A6" s="23" t="s">
        <v>10</v>
      </c>
      <c r="B6" s="20"/>
      <c r="C6" s="18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3.5" customHeight="1">
      <c r="A7" s="18"/>
      <c r="B7" s="18"/>
      <c r="C7" s="18"/>
      <c r="D7" s="18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8.75" customHeight="1">
      <c r="A8" s="24" t="s">
        <v>11</v>
      </c>
      <c r="B8" s="25"/>
      <c r="C8" s="26">
        <f>+C38</f>
        <v>0</v>
      </c>
      <c r="D8" s="27" t="s">
        <v>12</v>
      </c>
      <c r="E8" s="28">
        <f>+C8-C9-C10+C11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8.75" customHeight="1">
      <c r="A9" s="24" t="s">
        <v>13</v>
      </c>
      <c r="B9" s="25"/>
      <c r="C9" s="29">
        <f>+C64</f>
        <v>0</v>
      </c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8.75" customHeight="1">
      <c r="A10" s="30" t="s">
        <v>14</v>
      </c>
      <c r="B10" s="25"/>
      <c r="C10" s="31">
        <f>+C89</f>
        <v>0</v>
      </c>
      <c r="D10" s="27" t="s">
        <v>15</v>
      </c>
      <c r="E10" s="28">
        <f>+E4-E5+E8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ht="18.75" customHeight="1">
      <c r="A11" s="30" t="s">
        <v>16</v>
      </c>
      <c r="B11" s="25"/>
      <c r="C11" s="31">
        <f>+C115</f>
        <v>0</v>
      </c>
      <c r="D11" s="18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2.75" customHeight="1">
      <c r="A12" s="18"/>
      <c r="B12" s="18"/>
      <c r="C12" s="18"/>
      <c r="D12" s="18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2.75" customHeight="1">
      <c r="A13" s="18"/>
      <c r="B13" s="18"/>
      <c r="C13" s="18"/>
      <c r="D13" s="18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3.5" customHeight="1">
      <c r="A14" s="18"/>
      <c r="B14" s="18"/>
      <c r="C14" s="18"/>
      <c r="D14" s="18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20.25" customHeight="1">
      <c r="A15" s="32" t="s">
        <v>11</v>
      </c>
      <c r="B15" s="33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ht="17.25" customHeight="1">
      <c r="A16" s="36"/>
      <c r="B16" s="33"/>
      <c r="C16" s="33"/>
      <c r="D16" s="33"/>
      <c r="E16" s="34"/>
      <c r="F16" s="35"/>
      <c r="G16" s="37" t="s">
        <v>17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ht="36.0" customHeight="1">
      <c r="A17" s="38" t="s">
        <v>5</v>
      </c>
      <c r="B17" s="39" t="s">
        <v>18</v>
      </c>
      <c r="C17" s="38" t="s">
        <v>19</v>
      </c>
      <c r="D17" s="38" t="s">
        <v>20</v>
      </c>
      <c r="E17" s="38" t="s">
        <v>21</v>
      </c>
      <c r="F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ht="12.75" customHeight="1">
      <c r="A18" s="40"/>
      <c r="B18" s="41"/>
      <c r="C18" s="42"/>
      <c r="D18" s="43"/>
      <c r="E18" s="44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2.75" customHeight="1">
      <c r="A19" s="45"/>
      <c r="B19" s="46"/>
      <c r="C19" s="47"/>
      <c r="D19" s="48"/>
      <c r="E19" s="49"/>
      <c r="F19" s="17"/>
      <c r="G19" s="17"/>
      <c r="H19" s="50"/>
      <c r="I19" s="50"/>
      <c r="J19" s="5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2.75" customHeight="1">
      <c r="A20" s="45"/>
      <c r="B20" s="46"/>
      <c r="C20" s="47"/>
      <c r="D20" s="48"/>
      <c r="E20" s="49"/>
      <c r="F20" s="17"/>
      <c r="G20" s="17"/>
      <c r="H20" s="50"/>
      <c r="I20" s="50"/>
      <c r="J20" s="5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2.75" customHeight="1">
      <c r="A21" s="45"/>
      <c r="B21" s="46"/>
      <c r="C21" s="47"/>
      <c r="D21" s="48"/>
      <c r="E21" s="49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2.75" customHeight="1">
      <c r="A22" s="45"/>
      <c r="B22" s="46"/>
      <c r="C22" s="47"/>
      <c r="D22" s="48"/>
      <c r="E22" s="49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2.75" customHeight="1">
      <c r="A23" s="45"/>
      <c r="B23" s="46"/>
      <c r="C23" s="47"/>
      <c r="D23" s="48"/>
      <c r="E23" s="4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2.75" customHeight="1">
      <c r="A24" s="45"/>
      <c r="B24" s="46"/>
      <c r="C24" s="47"/>
      <c r="D24" s="48"/>
      <c r="E24" s="49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2.75" customHeight="1">
      <c r="A25" s="45"/>
      <c r="B25" s="46"/>
      <c r="C25" s="47"/>
      <c r="D25" s="48"/>
      <c r="E25" s="4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45"/>
      <c r="B26" s="46"/>
      <c r="C26" s="47"/>
      <c r="D26" s="48"/>
      <c r="E26" s="4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12.75" customHeight="1">
      <c r="A27" s="45"/>
      <c r="B27" s="46"/>
      <c r="C27" s="47"/>
      <c r="D27" s="48"/>
      <c r="E27" s="4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12.75" customHeight="1">
      <c r="A28" s="45"/>
      <c r="B28" s="46"/>
      <c r="C28" s="47"/>
      <c r="D28" s="48"/>
      <c r="E28" s="4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5"/>
      <c r="B29" s="46"/>
      <c r="C29" s="47"/>
      <c r="D29" s="48"/>
      <c r="E29" s="4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ht="12.75" customHeight="1">
      <c r="A30" s="45"/>
      <c r="B30" s="46"/>
      <c r="C30" s="47"/>
      <c r="D30" s="48"/>
      <c r="E30" s="4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ht="12.75" customHeight="1">
      <c r="A31" s="45"/>
      <c r="B31" s="46"/>
      <c r="C31" s="47"/>
      <c r="D31" s="48"/>
      <c r="E31" s="49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ht="12.75" customHeight="1">
      <c r="A32" s="45"/>
      <c r="B32" s="46"/>
      <c r="C32" s="47"/>
      <c r="D32" s="48"/>
      <c r="E32" s="4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2.75" customHeight="1">
      <c r="A33" s="45"/>
      <c r="B33" s="46"/>
      <c r="C33" s="47"/>
      <c r="D33" s="48"/>
      <c r="E33" s="4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2.75" customHeight="1">
      <c r="A34" s="45"/>
      <c r="B34" s="46"/>
      <c r="C34" s="47"/>
      <c r="D34" s="48"/>
      <c r="E34" s="4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2.75" customHeight="1">
      <c r="A35" s="45"/>
      <c r="B35" s="46"/>
      <c r="C35" s="47"/>
      <c r="D35" s="48"/>
      <c r="E35" s="4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2.75" customHeight="1">
      <c r="A36" s="45"/>
      <c r="B36" s="46"/>
      <c r="C36" s="47"/>
      <c r="D36" s="48"/>
      <c r="E36" s="4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3.5" customHeight="1">
      <c r="A37" s="51"/>
      <c r="B37" s="52"/>
      <c r="C37" s="53"/>
      <c r="D37" s="54"/>
      <c r="E37" s="5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0" customHeight="1">
      <c r="A38" s="56"/>
      <c r="B38" s="57" t="s">
        <v>22</v>
      </c>
      <c r="C38" s="58">
        <f>SUM(C18:C37)</f>
        <v>0</v>
      </c>
      <c r="D38" s="18"/>
      <c r="E38" s="18"/>
      <c r="F38" s="17"/>
      <c r="G38" s="17"/>
      <c r="H38" s="17"/>
      <c r="I38" s="17"/>
      <c r="J38" s="17"/>
      <c r="K38" s="17"/>
      <c r="L38" s="17"/>
      <c r="M38" s="59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2.75" customHeight="1">
      <c r="A39" s="56"/>
      <c r="B39" s="18"/>
      <c r="C39" s="60"/>
      <c r="D39" s="18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3.5" customHeight="1">
      <c r="A40" s="61"/>
      <c r="B40" s="18"/>
      <c r="C40" s="18"/>
      <c r="D40" s="18"/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ht="20.25" customHeight="1">
      <c r="A41" s="32" t="s">
        <v>13</v>
      </c>
      <c r="B41" s="33"/>
      <c r="C41" s="33"/>
      <c r="D41" s="33"/>
      <c r="E41" s="3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ht="15.75" customHeight="1">
      <c r="A42" s="62"/>
      <c r="B42" s="34"/>
      <c r="C42" s="18"/>
      <c r="D42" s="18"/>
      <c r="E42" s="18"/>
      <c r="F42" s="17"/>
      <c r="G42" s="37" t="s">
        <v>23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ht="30.75" customHeight="1">
      <c r="A43" s="38" t="s">
        <v>5</v>
      </c>
      <c r="B43" s="39" t="s">
        <v>18</v>
      </c>
      <c r="C43" s="38" t="s">
        <v>19</v>
      </c>
      <c r="D43" s="38" t="s">
        <v>20</v>
      </c>
      <c r="E43" s="38" t="s">
        <v>21</v>
      </c>
      <c r="F43" s="17"/>
      <c r="J43" s="5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ht="12.75" customHeight="1">
      <c r="A44" s="40"/>
      <c r="B44" s="41"/>
      <c r="C44" s="42"/>
      <c r="D44" s="43"/>
      <c r="E44" s="44"/>
      <c r="F44" s="17"/>
      <c r="G44" s="17"/>
      <c r="H44" s="50"/>
      <c r="I44" s="50"/>
      <c r="J44" s="5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ht="12.75" customHeight="1">
      <c r="A45" s="45"/>
      <c r="B45" s="46"/>
      <c r="C45" s="47"/>
      <c r="D45" s="48"/>
      <c r="E45" s="49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.75" customHeight="1">
      <c r="A46" s="45"/>
      <c r="B46" s="46"/>
      <c r="C46" s="47"/>
      <c r="D46" s="48"/>
      <c r="E46" s="49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2.75" customHeight="1">
      <c r="A47" s="45"/>
      <c r="B47" s="46"/>
      <c r="C47" s="47"/>
      <c r="D47" s="48"/>
      <c r="E47" s="49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2.75" customHeight="1">
      <c r="A48" s="45"/>
      <c r="B48" s="46"/>
      <c r="C48" s="47"/>
      <c r="D48" s="48"/>
      <c r="E48" s="49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2.75" customHeight="1">
      <c r="A49" s="45"/>
      <c r="B49" s="46"/>
      <c r="C49" s="47"/>
      <c r="D49" s="48"/>
      <c r="E49" s="49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45"/>
      <c r="B50" s="46"/>
      <c r="C50" s="47"/>
      <c r="D50" s="48"/>
      <c r="E50" s="49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2.75" customHeight="1">
      <c r="A51" s="45"/>
      <c r="B51" s="46"/>
      <c r="C51" s="47"/>
      <c r="D51" s="48"/>
      <c r="E51" s="49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2.75" customHeight="1">
      <c r="A52" s="45"/>
      <c r="B52" s="46"/>
      <c r="C52" s="47"/>
      <c r="D52" s="48"/>
      <c r="E52" s="49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2.75" customHeight="1">
      <c r="A53" s="45"/>
      <c r="B53" s="46"/>
      <c r="C53" s="47"/>
      <c r="D53" s="48"/>
      <c r="E53" s="49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2.75" customHeight="1">
      <c r="A54" s="45"/>
      <c r="B54" s="46"/>
      <c r="C54" s="47"/>
      <c r="D54" s="48"/>
      <c r="E54" s="49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45"/>
      <c r="B55" s="46"/>
      <c r="C55" s="47"/>
      <c r="D55" s="48"/>
      <c r="E55" s="49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ht="12.75" customHeight="1">
      <c r="A56" s="45"/>
      <c r="B56" s="46"/>
      <c r="C56" s="47"/>
      <c r="D56" s="48"/>
      <c r="E56" s="4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ht="12.75" customHeight="1">
      <c r="A57" s="45"/>
      <c r="B57" s="46"/>
      <c r="C57" s="47"/>
      <c r="D57" s="48"/>
      <c r="E57" s="49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ht="12.75" customHeight="1">
      <c r="A58" s="45"/>
      <c r="B58" s="46"/>
      <c r="C58" s="47"/>
      <c r="D58" s="48"/>
      <c r="E58" s="49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ht="12.75" customHeight="1">
      <c r="A59" s="45"/>
      <c r="B59" s="46"/>
      <c r="C59" s="47"/>
      <c r="D59" s="48"/>
      <c r="E59" s="49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ht="12.75" customHeight="1">
      <c r="A60" s="45"/>
      <c r="B60" s="46"/>
      <c r="C60" s="47"/>
      <c r="D60" s="48"/>
      <c r="E60" s="49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ht="12.75" customHeight="1">
      <c r="A61" s="45"/>
      <c r="B61" s="46"/>
      <c r="C61" s="47"/>
      <c r="D61" s="48"/>
      <c r="E61" s="49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ht="12.75" customHeight="1">
      <c r="A62" s="45"/>
      <c r="B62" s="46"/>
      <c r="C62" s="47"/>
      <c r="D62" s="48"/>
      <c r="E62" s="49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ht="13.5" customHeight="1">
      <c r="A63" s="51"/>
      <c r="B63" s="52"/>
      <c r="C63" s="53"/>
      <c r="D63" s="54"/>
      <c r="E63" s="55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ht="15.0" customHeight="1">
      <c r="A64" s="56"/>
      <c r="B64" s="57" t="s">
        <v>22</v>
      </c>
      <c r="C64" s="58">
        <f>SUM(C44:C63)</f>
        <v>0</v>
      </c>
      <c r="D64" s="18"/>
      <c r="E64" s="18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ht="13.5" customHeight="1">
      <c r="A65" s="61"/>
      <c r="B65" s="18"/>
      <c r="C65" s="18"/>
      <c r="D65" s="18"/>
      <c r="E65" s="18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ht="18.75" customHeight="1">
      <c r="A66" s="63" t="s">
        <v>14</v>
      </c>
      <c r="B66" s="33"/>
      <c r="C66" s="33"/>
      <c r="D66" s="33"/>
      <c r="E66" s="3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ht="15.75" customHeight="1">
      <c r="A67" s="62"/>
      <c r="B67" s="33"/>
      <c r="C67" s="33"/>
      <c r="D67" s="33"/>
      <c r="E67" s="34"/>
      <c r="F67" s="17"/>
      <c r="G67" s="64" t="s">
        <v>24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ht="30.75" customHeight="1">
      <c r="A68" s="38" t="s">
        <v>5</v>
      </c>
      <c r="B68" s="39" t="s">
        <v>18</v>
      </c>
      <c r="C68" s="38" t="s">
        <v>19</v>
      </c>
      <c r="D68" s="38" t="s">
        <v>20</v>
      </c>
      <c r="E68" s="38" t="s">
        <v>21</v>
      </c>
      <c r="F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ht="12.75" customHeight="1">
      <c r="A69" s="40"/>
      <c r="B69" s="41"/>
      <c r="C69" s="42"/>
      <c r="D69" s="43"/>
      <c r="E69" s="4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ht="12.75" customHeight="1">
      <c r="A70" s="45"/>
      <c r="B70" s="46"/>
      <c r="C70" s="47"/>
      <c r="D70" s="48"/>
      <c r="E70" s="49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ht="12.75" customHeight="1">
      <c r="A71" s="45"/>
      <c r="B71" s="46"/>
      <c r="C71" s="47"/>
      <c r="D71" s="48"/>
      <c r="E71" s="49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ht="12.75" customHeight="1">
      <c r="A72" s="45"/>
      <c r="B72" s="46"/>
      <c r="C72" s="47"/>
      <c r="D72" s="48"/>
      <c r="E72" s="49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ht="12.75" customHeight="1">
      <c r="A73" s="45"/>
      <c r="B73" s="46"/>
      <c r="C73" s="47"/>
      <c r="D73" s="48"/>
      <c r="E73" s="49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ht="12.75" customHeight="1">
      <c r="A74" s="45"/>
      <c r="B74" s="46"/>
      <c r="C74" s="47"/>
      <c r="D74" s="48"/>
      <c r="E74" s="49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ht="12.75" customHeight="1">
      <c r="A75" s="45"/>
      <c r="B75" s="46"/>
      <c r="C75" s="47"/>
      <c r="D75" s="48"/>
      <c r="E75" s="49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ht="12.75" customHeight="1">
      <c r="A76" s="45"/>
      <c r="B76" s="46"/>
      <c r="C76" s="47"/>
      <c r="D76" s="48"/>
      <c r="E76" s="49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ht="12.75" customHeight="1">
      <c r="A77" s="45"/>
      <c r="B77" s="46"/>
      <c r="C77" s="47"/>
      <c r="D77" s="48"/>
      <c r="E77" s="49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ht="12.75" customHeight="1">
      <c r="A78" s="45"/>
      <c r="B78" s="46"/>
      <c r="C78" s="47"/>
      <c r="D78" s="48"/>
      <c r="E78" s="49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ht="12.75" customHeight="1">
      <c r="A79" s="45"/>
      <c r="B79" s="46"/>
      <c r="C79" s="47"/>
      <c r="D79" s="48"/>
      <c r="E79" s="49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ht="12.75" customHeight="1">
      <c r="A80" s="45"/>
      <c r="B80" s="46"/>
      <c r="C80" s="47"/>
      <c r="D80" s="48"/>
      <c r="E80" s="49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ht="12.75" customHeight="1">
      <c r="A81" s="45"/>
      <c r="B81" s="46"/>
      <c r="C81" s="47"/>
      <c r="D81" s="48"/>
      <c r="E81" s="49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ht="12.75" customHeight="1">
      <c r="A82" s="45"/>
      <c r="B82" s="46"/>
      <c r="C82" s="47"/>
      <c r="D82" s="48"/>
      <c r="E82" s="49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ht="12.75" customHeight="1">
      <c r="A83" s="45"/>
      <c r="B83" s="46"/>
      <c r="C83" s="47"/>
      <c r="D83" s="48"/>
      <c r="E83" s="49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ht="12.75" customHeight="1">
      <c r="A84" s="45"/>
      <c r="B84" s="46"/>
      <c r="C84" s="47"/>
      <c r="D84" s="48"/>
      <c r="E84" s="49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ht="12.75" customHeight="1">
      <c r="A85" s="45"/>
      <c r="B85" s="46"/>
      <c r="C85" s="47"/>
      <c r="D85" s="48"/>
      <c r="E85" s="49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ht="12.75" customHeight="1">
      <c r="A86" s="45"/>
      <c r="B86" s="46"/>
      <c r="C86" s="47"/>
      <c r="D86" s="48"/>
      <c r="E86" s="49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ht="12.75" customHeight="1">
      <c r="A87" s="45"/>
      <c r="B87" s="46"/>
      <c r="C87" s="47"/>
      <c r="D87" s="48"/>
      <c r="E87" s="49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ht="13.5" customHeight="1">
      <c r="A88" s="51"/>
      <c r="B88" s="52"/>
      <c r="C88" s="53"/>
      <c r="D88" s="54"/>
      <c r="E88" s="55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ht="15.0" customHeight="1">
      <c r="A89" s="56"/>
      <c r="B89" s="57" t="s">
        <v>22</v>
      </c>
      <c r="C89" s="58">
        <f>SUM(C69:C88)</f>
        <v>0</v>
      </c>
      <c r="D89" s="18"/>
      <c r="E89" s="18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ht="12.75" customHeight="1">
      <c r="A90" s="18"/>
      <c r="B90" s="18"/>
      <c r="C90" s="18"/>
      <c r="D90" s="18"/>
      <c r="E90" s="18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ht="13.5" customHeight="1">
      <c r="A91" s="18"/>
      <c r="B91" s="18"/>
      <c r="C91" s="18"/>
      <c r="D91" s="18"/>
      <c r="E91" s="18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ht="18.75" customHeight="1">
      <c r="A92" s="63" t="s">
        <v>16</v>
      </c>
      <c r="B92" s="33"/>
      <c r="C92" s="33"/>
      <c r="D92" s="33"/>
      <c r="E92" s="34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ht="15.75" customHeight="1">
      <c r="A93" s="65" t="s">
        <v>25</v>
      </c>
      <c r="B93" s="18"/>
      <c r="C93" s="18"/>
      <c r="D93" s="18"/>
      <c r="E93" s="18"/>
      <c r="F93" s="17"/>
      <c r="G93" s="64" t="s">
        <v>26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ht="30.75" customHeight="1">
      <c r="A94" s="38" t="s">
        <v>5</v>
      </c>
      <c r="B94" s="39" t="s">
        <v>18</v>
      </c>
      <c r="C94" s="38" t="s">
        <v>19</v>
      </c>
      <c r="D94" s="38" t="s">
        <v>20</v>
      </c>
      <c r="E94" s="38" t="s">
        <v>21</v>
      </c>
      <c r="F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ht="12.75" customHeight="1">
      <c r="A95" s="40"/>
      <c r="B95" s="41"/>
      <c r="C95" s="42"/>
      <c r="D95" s="43"/>
      <c r="E95" s="4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ht="12.75" customHeight="1">
      <c r="A96" s="45"/>
      <c r="B96" s="46"/>
      <c r="C96" s="47"/>
      <c r="D96" s="48"/>
      <c r="E96" s="4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ht="12.75" customHeight="1">
      <c r="A97" s="45"/>
      <c r="B97" s="46"/>
      <c r="C97" s="47"/>
      <c r="D97" s="48"/>
      <c r="E97" s="49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ht="12.75" customHeight="1">
      <c r="A98" s="45"/>
      <c r="B98" s="46"/>
      <c r="C98" s="47"/>
      <c r="D98" s="48"/>
      <c r="E98" s="49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ht="12.75" customHeight="1">
      <c r="A99" s="45"/>
      <c r="B99" s="46"/>
      <c r="C99" s="47"/>
      <c r="D99" s="48"/>
      <c r="E99" s="49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ht="12.75" customHeight="1">
      <c r="A100" s="45"/>
      <c r="B100" s="46"/>
      <c r="C100" s="47"/>
      <c r="D100" s="48"/>
      <c r="E100" s="49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ht="12.75" customHeight="1">
      <c r="A101" s="45"/>
      <c r="B101" s="46"/>
      <c r="C101" s="47"/>
      <c r="D101" s="48"/>
      <c r="E101" s="49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ht="12.75" customHeight="1">
      <c r="A102" s="45"/>
      <c r="B102" s="46"/>
      <c r="C102" s="47"/>
      <c r="D102" s="48"/>
      <c r="E102" s="49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ht="12.75" customHeight="1">
      <c r="A103" s="45"/>
      <c r="B103" s="46"/>
      <c r="C103" s="47"/>
      <c r="D103" s="48"/>
      <c r="E103" s="49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ht="12.75" customHeight="1">
      <c r="A104" s="45"/>
      <c r="B104" s="46"/>
      <c r="C104" s="47"/>
      <c r="D104" s="48"/>
      <c r="E104" s="49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ht="12.75" customHeight="1">
      <c r="A105" s="45"/>
      <c r="B105" s="46"/>
      <c r="C105" s="47"/>
      <c r="D105" s="48"/>
      <c r="E105" s="49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ht="12.75" customHeight="1">
      <c r="A106" s="45"/>
      <c r="B106" s="46"/>
      <c r="C106" s="47"/>
      <c r="D106" s="48"/>
      <c r="E106" s="49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ht="12.75" customHeight="1">
      <c r="A107" s="45"/>
      <c r="B107" s="46"/>
      <c r="C107" s="47"/>
      <c r="D107" s="48"/>
      <c r="E107" s="49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ht="12.75" customHeight="1">
      <c r="A108" s="45"/>
      <c r="B108" s="46"/>
      <c r="C108" s="47"/>
      <c r="D108" s="48"/>
      <c r="E108" s="49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ht="12.75" customHeight="1">
      <c r="A109" s="45"/>
      <c r="B109" s="46"/>
      <c r="C109" s="47"/>
      <c r="D109" s="48"/>
      <c r="E109" s="49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ht="12.75" customHeight="1">
      <c r="A110" s="45"/>
      <c r="B110" s="46"/>
      <c r="C110" s="47"/>
      <c r="D110" s="48"/>
      <c r="E110" s="49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ht="12.75" customHeight="1">
      <c r="A111" s="45"/>
      <c r="B111" s="46"/>
      <c r="C111" s="47"/>
      <c r="D111" s="48"/>
      <c r="E111" s="49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ht="12.75" customHeight="1">
      <c r="A112" s="45"/>
      <c r="B112" s="46"/>
      <c r="C112" s="47"/>
      <c r="D112" s="48"/>
      <c r="E112" s="49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ht="12.75" customHeight="1">
      <c r="A113" s="45"/>
      <c r="B113" s="46"/>
      <c r="C113" s="47"/>
      <c r="D113" s="48"/>
      <c r="E113" s="49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ht="13.5" customHeight="1">
      <c r="A114" s="51"/>
      <c r="B114" s="52"/>
      <c r="C114" s="53"/>
      <c r="D114" s="54"/>
      <c r="E114" s="55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ht="15.0" customHeight="1">
      <c r="A115" s="56"/>
      <c r="B115" s="57" t="s">
        <v>22</v>
      </c>
      <c r="C115" s="58">
        <f>SUM(C95:C114)</f>
        <v>0</v>
      </c>
      <c r="D115" s="18"/>
      <c r="E115" s="18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ht="12.75" customHeight="1">
      <c r="A116" s="18"/>
      <c r="B116" s="18"/>
      <c r="C116" s="18"/>
      <c r="D116" s="18"/>
      <c r="E116" s="18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ht="12.75" customHeight="1">
      <c r="A117" s="18"/>
      <c r="B117" s="18"/>
      <c r="C117" s="18"/>
      <c r="D117" s="18"/>
      <c r="E117" s="18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ht="12.75" customHeight="1">
      <c r="A118" s="18"/>
      <c r="B118" s="18"/>
      <c r="C118" s="18"/>
      <c r="D118" s="18"/>
      <c r="E118" s="1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ht="12.75" customHeight="1">
      <c r="A119" s="18"/>
      <c r="B119" s="18"/>
      <c r="C119" s="18"/>
      <c r="D119" s="18"/>
      <c r="E119" s="18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ht="12.75" customHeight="1">
      <c r="A120" s="18"/>
      <c r="B120" s="18"/>
      <c r="C120" s="18"/>
      <c r="D120" s="18"/>
      <c r="E120" s="18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ht="12.75" customHeight="1">
      <c r="A121" s="18"/>
      <c r="B121" s="18"/>
      <c r="C121" s="18"/>
      <c r="D121" s="18"/>
      <c r="E121" s="1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ht="12.75" customHeight="1">
      <c r="A122" s="18"/>
      <c r="B122" s="18"/>
      <c r="C122" s="18"/>
      <c r="D122" s="18"/>
      <c r="E122" s="18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ht="12.75" customHeight="1">
      <c r="A123" s="18"/>
      <c r="B123" s="18"/>
      <c r="C123" s="18"/>
      <c r="D123" s="18"/>
      <c r="E123" s="18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ht="12.75" customHeight="1">
      <c r="A124" s="18"/>
      <c r="B124" s="18"/>
      <c r="C124" s="18"/>
      <c r="D124" s="18"/>
      <c r="E124" s="18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ht="12.75" customHeight="1">
      <c r="A125" s="18"/>
      <c r="B125" s="18"/>
      <c r="C125" s="18"/>
      <c r="D125" s="18"/>
      <c r="E125" s="18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ht="12.75" customHeight="1">
      <c r="A126" s="18"/>
      <c r="B126" s="18"/>
      <c r="C126" s="18"/>
      <c r="D126" s="18"/>
      <c r="E126" s="18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ht="12.75" customHeight="1">
      <c r="A127" s="18"/>
      <c r="B127" s="18"/>
      <c r="C127" s="18"/>
      <c r="D127" s="18"/>
      <c r="E127" s="18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ht="12.75" customHeight="1">
      <c r="A128" s="18"/>
      <c r="B128" s="18"/>
      <c r="C128" s="18"/>
      <c r="D128" s="18"/>
      <c r="E128" s="18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ht="12.75" customHeight="1">
      <c r="A129" s="18"/>
      <c r="B129" s="18"/>
      <c r="C129" s="18"/>
      <c r="D129" s="18"/>
      <c r="E129" s="1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ht="12.75" customHeight="1">
      <c r="A130" s="18"/>
      <c r="B130" s="18"/>
      <c r="C130" s="18"/>
      <c r="D130" s="18"/>
      <c r="E130" s="18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ht="12.75" customHeight="1">
      <c r="A131" s="18"/>
      <c r="B131" s="18"/>
      <c r="C131" s="18"/>
      <c r="D131" s="18"/>
      <c r="E131" s="18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ht="12.75" customHeight="1">
      <c r="A132" s="18"/>
      <c r="B132" s="18"/>
      <c r="C132" s="18"/>
      <c r="D132" s="18"/>
      <c r="E132" s="18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ht="12.75" customHeight="1">
      <c r="A133" s="18"/>
      <c r="B133" s="18"/>
      <c r="C133" s="18"/>
      <c r="D133" s="18"/>
      <c r="E133" s="18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ht="12.75" customHeight="1">
      <c r="A134" s="18"/>
      <c r="B134" s="18"/>
      <c r="C134" s="18"/>
      <c r="D134" s="18"/>
      <c r="E134" s="18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ht="12.75" customHeight="1">
      <c r="A135" s="18"/>
      <c r="B135" s="18"/>
      <c r="C135" s="18"/>
      <c r="D135" s="18"/>
      <c r="E135" s="1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ht="12.75" customHeight="1">
      <c r="A136" s="18"/>
      <c r="B136" s="18"/>
      <c r="C136" s="18"/>
      <c r="D136" s="18"/>
      <c r="E136" s="18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ht="12.75" customHeight="1">
      <c r="A137" s="18"/>
      <c r="B137" s="18"/>
      <c r="C137" s="18"/>
      <c r="D137" s="18"/>
      <c r="E137" s="18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ht="12.75" customHeight="1">
      <c r="A138" s="18"/>
      <c r="B138" s="18"/>
      <c r="C138" s="18"/>
      <c r="D138" s="18"/>
      <c r="E138" s="1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ht="12.75" customHeight="1">
      <c r="A139" s="18"/>
      <c r="B139" s="18"/>
      <c r="C139" s="18"/>
      <c r="D139" s="18"/>
      <c r="E139" s="18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ht="12.75" customHeight="1">
      <c r="A140" s="18"/>
      <c r="B140" s="18"/>
      <c r="C140" s="18"/>
      <c r="D140" s="18"/>
      <c r="E140" s="18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ht="12.75" customHeight="1">
      <c r="A141" s="18"/>
      <c r="B141" s="18"/>
      <c r="C141" s="18"/>
      <c r="D141" s="18"/>
      <c r="E141" s="18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ht="12.75" customHeight="1">
      <c r="A142" s="18"/>
      <c r="B142" s="18"/>
      <c r="C142" s="18"/>
      <c r="D142" s="18"/>
      <c r="E142" s="18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ht="12.75" customHeight="1">
      <c r="A143" s="18"/>
      <c r="B143" s="18"/>
      <c r="C143" s="18"/>
      <c r="D143" s="18"/>
      <c r="E143" s="18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ht="12.75" customHeight="1">
      <c r="A144" s="18"/>
      <c r="B144" s="18"/>
      <c r="C144" s="18"/>
      <c r="D144" s="18"/>
      <c r="E144" s="1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ht="12.75" customHeight="1">
      <c r="A145" s="18"/>
      <c r="B145" s="18"/>
      <c r="C145" s="18"/>
      <c r="D145" s="18"/>
      <c r="E145" s="18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ht="12.75" customHeight="1">
      <c r="A146" s="18"/>
      <c r="B146" s="18"/>
      <c r="C146" s="18"/>
      <c r="D146" s="18"/>
      <c r="E146" s="18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ht="12.75" customHeight="1">
      <c r="A147" s="18"/>
      <c r="B147" s="18"/>
      <c r="C147" s="18"/>
      <c r="D147" s="18"/>
      <c r="E147" s="18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ht="12.75" customHeight="1">
      <c r="A148" s="18"/>
      <c r="B148" s="18"/>
      <c r="C148" s="18"/>
      <c r="D148" s="18"/>
      <c r="E148" s="18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ht="12.75" customHeight="1">
      <c r="A149" s="18"/>
      <c r="B149" s="18"/>
      <c r="C149" s="18"/>
      <c r="D149" s="18"/>
      <c r="E149" s="18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ht="12.75" customHeight="1">
      <c r="A150" s="18"/>
      <c r="B150" s="18"/>
      <c r="C150" s="18"/>
      <c r="D150" s="18"/>
      <c r="E150" s="18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ht="12.75" customHeight="1">
      <c r="A151" s="18"/>
      <c r="B151" s="18"/>
      <c r="C151" s="18"/>
      <c r="D151" s="18"/>
      <c r="E151" s="18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ht="12.75" customHeight="1">
      <c r="A152" s="18"/>
      <c r="B152" s="18"/>
      <c r="C152" s="18"/>
      <c r="D152" s="18"/>
      <c r="E152" s="18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ht="12.75" customHeight="1">
      <c r="A153" s="18"/>
      <c r="B153" s="18"/>
      <c r="C153" s="18"/>
      <c r="D153" s="18"/>
      <c r="E153" s="18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ht="12.75" customHeight="1">
      <c r="A154" s="18"/>
      <c r="B154" s="18"/>
      <c r="C154" s="18"/>
      <c r="D154" s="18"/>
      <c r="E154" s="18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ht="12.75" customHeight="1">
      <c r="A155" s="18"/>
      <c r="B155" s="18"/>
      <c r="C155" s="18"/>
      <c r="D155" s="18"/>
      <c r="E155" s="18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ht="12.75" customHeight="1">
      <c r="A156" s="18"/>
      <c r="B156" s="18"/>
      <c r="C156" s="18"/>
      <c r="D156" s="18"/>
      <c r="E156" s="18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ht="12.75" customHeight="1">
      <c r="A157" s="18"/>
      <c r="B157" s="18"/>
      <c r="C157" s="18"/>
      <c r="D157" s="18"/>
      <c r="E157" s="18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ht="12.75" customHeight="1">
      <c r="A158" s="18"/>
      <c r="B158" s="18"/>
      <c r="C158" s="18"/>
      <c r="D158" s="18"/>
      <c r="E158" s="18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ht="12.75" customHeight="1">
      <c r="A159" s="18"/>
      <c r="B159" s="18"/>
      <c r="C159" s="18"/>
      <c r="D159" s="18"/>
      <c r="E159" s="18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ht="12.75" customHeight="1">
      <c r="A160" s="18"/>
      <c r="B160" s="18"/>
      <c r="C160" s="18"/>
      <c r="D160" s="18"/>
      <c r="E160" s="18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ht="12.75" customHeight="1">
      <c r="A161" s="18"/>
      <c r="B161" s="18"/>
      <c r="C161" s="18"/>
      <c r="D161" s="18"/>
      <c r="E161" s="18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ht="12.75" customHeight="1">
      <c r="A162" s="18"/>
      <c r="B162" s="18"/>
      <c r="C162" s="18"/>
      <c r="D162" s="18"/>
      <c r="E162" s="18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ht="12.75" customHeight="1">
      <c r="A163" s="18"/>
      <c r="B163" s="18"/>
      <c r="C163" s="18"/>
      <c r="D163" s="18"/>
      <c r="E163" s="18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ht="12.75" customHeight="1">
      <c r="A164" s="18"/>
      <c r="B164" s="18"/>
      <c r="C164" s="18"/>
      <c r="D164" s="18"/>
      <c r="E164" s="18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ht="12.75" customHeight="1">
      <c r="A165" s="18"/>
      <c r="B165" s="18"/>
      <c r="C165" s="18"/>
      <c r="D165" s="18"/>
      <c r="E165" s="18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ht="12.75" customHeight="1">
      <c r="A166" s="18"/>
      <c r="B166" s="18"/>
      <c r="C166" s="18"/>
      <c r="D166" s="18"/>
      <c r="E166" s="18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ht="12.75" customHeight="1">
      <c r="A167" s="18"/>
      <c r="B167" s="18"/>
      <c r="C167" s="18"/>
      <c r="D167" s="18"/>
      <c r="E167" s="18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ht="12.75" customHeight="1">
      <c r="A168" s="18"/>
      <c r="B168" s="18"/>
      <c r="C168" s="18"/>
      <c r="D168" s="18"/>
      <c r="E168" s="18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ht="12.75" customHeight="1">
      <c r="A169" s="18"/>
      <c r="B169" s="18"/>
      <c r="C169" s="18"/>
      <c r="D169" s="18"/>
      <c r="E169" s="18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ht="12.75" customHeight="1">
      <c r="A170" s="18"/>
      <c r="B170" s="18"/>
      <c r="C170" s="18"/>
      <c r="D170" s="18"/>
      <c r="E170" s="18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ht="12.75" customHeight="1">
      <c r="A171" s="18"/>
      <c r="B171" s="18"/>
      <c r="C171" s="18"/>
      <c r="D171" s="18"/>
      <c r="E171" s="18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ht="12.75" customHeight="1">
      <c r="A172" s="18"/>
      <c r="B172" s="18"/>
      <c r="C172" s="18"/>
      <c r="D172" s="18"/>
      <c r="E172" s="18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ht="12.75" customHeight="1">
      <c r="A173" s="18"/>
      <c r="B173" s="18"/>
      <c r="C173" s="18"/>
      <c r="D173" s="18"/>
      <c r="E173" s="18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ht="12.75" customHeight="1">
      <c r="A174" s="18"/>
      <c r="B174" s="18"/>
      <c r="C174" s="18"/>
      <c r="D174" s="18"/>
      <c r="E174" s="18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ht="12.75" customHeight="1">
      <c r="A175" s="18"/>
      <c r="B175" s="18"/>
      <c r="C175" s="18"/>
      <c r="D175" s="18"/>
      <c r="E175" s="18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ht="12.75" customHeight="1">
      <c r="A176" s="18"/>
      <c r="B176" s="18"/>
      <c r="C176" s="18"/>
      <c r="D176" s="18"/>
      <c r="E176" s="18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ht="12.75" customHeight="1">
      <c r="A177" s="18"/>
      <c r="B177" s="18"/>
      <c r="C177" s="18"/>
      <c r="D177" s="18"/>
      <c r="E177" s="18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ht="12.75" customHeight="1">
      <c r="A178" s="18"/>
      <c r="B178" s="18"/>
      <c r="C178" s="18"/>
      <c r="D178" s="18"/>
      <c r="E178" s="18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ht="12.75" customHeight="1">
      <c r="A179" s="18"/>
      <c r="B179" s="18"/>
      <c r="C179" s="18"/>
      <c r="D179" s="18"/>
      <c r="E179" s="18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ht="12.75" customHeight="1">
      <c r="A180" s="18"/>
      <c r="B180" s="18"/>
      <c r="C180" s="18"/>
      <c r="D180" s="18"/>
      <c r="E180" s="18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ht="12.75" customHeight="1">
      <c r="A181" s="18"/>
      <c r="B181" s="18"/>
      <c r="C181" s="18"/>
      <c r="D181" s="18"/>
      <c r="E181" s="18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ht="12.75" customHeight="1">
      <c r="A182" s="18"/>
      <c r="B182" s="18"/>
      <c r="C182" s="18"/>
      <c r="D182" s="18"/>
      <c r="E182" s="18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ht="12.75" customHeight="1">
      <c r="A183" s="18"/>
      <c r="B183" s="18"/>
      <c r="C183" s="18"/>
      <c r="D183" s="18"/>
      <c r="E183" s="18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ht="12.75" customHeight="1">
      <c r="A184" s="18"/>
      <c r="B184" s="18"/>
      <c r="C184" s="18"/>
      <c r="D184" s="18"/>
      <c r="E184" s="18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ht="12.75" customHeight="1">
      <c r="A185" s="18"/>
      <c r="B185" s="18"/>
      <c r="C185" s="18"/>
      <c r="D185" s="18"/>
      <c r="E185" s="18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ht="12.75" customHeight="1">
      <c r="A186" s="18"/>
      <c r="B186" s="18"/>
      <c r="C186" s="18"/>
      <c r="D186" s="18"/>
      <c r="E186" s="18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ht="12.75" customHeight="1">
      <c r="A187" s="18"/>
      <c r="B187" s="18"/>
      <c r="C187" s="18"/>
      <c r="D187" s="18"/>
      <c r="E187" s="18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ht="12.75" customHeight="1">
      <c r="A188" s="18"/>
      <c r="B188" s="18"/>
      <c r="C188" s="18"/>
      <c r="D188" s="18"/>
      <c r="E188" s="18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ht="12.75" customHeight="1">
      <c r="A189" s="18"/>
      <c r="B189" s="18"/>
      <c r="C189" s="18"/>
      <c r="D189" s="18"/>
      <c r="E189" s="18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ht="12.75" customHeight="1">
      <c r="A190" s="18"/>
      <c r="B190" s="18"/>
      <c r="C190" s="18"/>
      <c r="D190" s="18"/>
      <c r="E190" s="18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ht="12.75" customHeight="1">
      <c r="A191" s="18"/>
      <c r="B191" s="18"/>
      <c r="C191" s="18"/>
      <c r="D191" s="18"/>
      <c r="E191" s="18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ht="12.75" customHeight="1">
      <c r="A192" s="18"/>
      <c r="B192" s="18"/>
      <c r="C192" s="18"/>
      <c r="D192" s="18"/>
      <c r="E192" s="18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ht="12.75" customHeight="1">
      <c r="A193" s="18"/>
      <c r="B193" s="18"/>
      <c r="C193" s="18"/>
      <c r="D193" s="18"/>
      <c r="E193" s="18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ht="12.75" customHeight="1">
      <c r="A194" s="18"/>
      <c r="B194" s="18"/>
      <c r="C194" s="18"/>
      <c r="D194" s="18"/>
      <c r="E194" s="18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ht="12.75" customHeight="1">
      <c r="A195" s="18"/>
      <c r="B195" s="18"/>
      <c r="C195" s="18"/>
      <c r="D195" s="18"/>
      <c r="E195" s="18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ht="12.75" customHeight="1">
      <c r="A196" s="18"/>
      <c r="B196" s="18"/>
      <c r="C196" s="18"/>
      <c r="D196" s="18"/>
      <c r="E196" s="18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ht="12.75" customHeight="1">
      <c r="A197" s="18"/>
      <c r="B197" s="18"/>
      <c r="C197" s="18"/>
      <c r="D197" s="18"/>
      <c r="E197" s="18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ht="12.75" customHeight="1">
      <c r="A198" s="18"/>
      <c r="B198" s="18"/>
      <c r="C198" s="18"/>
      <c r="D198" s="18"/>
      <c r="E198" s="18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ht="12.75" customHeight="1">
      <c r="A199" s="18"/>
      <c r="B199" s="18"/>
      <c r="C199" s="18"/>
      <c r="D199" s="18"/>
      <c r="E199" s="18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ht="12.75" customHeight="1">
      <c r="A200" s="18"/>
      <c r="B200" s="18"/>
      <c r="C200" s="18"/>
      <c r="D200" s="18"/>
      <c r="E200" s="18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ht="12.75" customHeight="1">
      <c r="A201" s="18"/>
      <c r="B201" s="18"/>
      <c r="C201" s="18"/>
      <c r="D201" s="18"/>
      <c r="E201" s="18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ht="12.75" customHeight="1">
      <c r="A202" s="18"/>
      <c r="B202" s="18"/>
      <c r="C202" s="18"/>
      <c r="D202" s="18"/>
      <c r="E202" s="18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ht="12.75" customHeight="1">
      <c r="A203" s="18"/>
      <c r="B203" s="18"/>
      <c r="C203" s="18"/>
      <c r="D203" s="18"/>
      <c r="E203" s="18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ht="12.75" customHeight="1">
      <c r="A204" s="18"/>
      <c r="B204" s="18"/>
      <c r="C204" s="18"/>
      <c r="D204" s="18"/>
      <c r="E204" s="18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ht="12.75" customHeight="1">
      <c r="A205" s="18"/>
      <c r="B205" s="18"/>
      <c r="C205" s="18"/>
      <c r="D205" s="18"/>
      <c r="E205" s="18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ht="12.75" customHeight="1">
      <c r="A206" s="18"/>
      <c r="B206" s="18"/>
      <c r="C206" s="18"/>
      <c r="D206" s="18"/>
      <c r="E206" s="18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ht="12.75" customHeight="1">
      <c r="A207" s="18"/>
      <c r="B207" s="18"/>
      <c r="C207" s="18"/>
      <c r="D207" s="18"/>
      <c r="E207" s="18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ht="12.75" customHeight="1">
      <c r="A208" s="18"/>
      <c r="B208" s="18"/>
      <c r="C208" s="18"/>
      <c r="D208" s="18"/>
      <c r="E208" s="1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ht="12.75" customHeight="1">
      <c r="A209" s="18"/>
      <c r="B209" s="18"/>
      <c r="C209" s="18"/>
      <c r="D209" s="18"/>
      <c r="E209" s="18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ht="12.75" customHeight="1">
      <c r="A210" s="18"/>
      <c r="B210" s="18"/>
      <c r="C210" s="18"/>
      <c r="D210" s="18"/>
      <c r="E210" s="18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ht="12.75" customHeight="1">
      <c r="A211" s="18"/>
      <c r="B211" s="18"/>
      <c r="C211" s="18"/>
      <c r="D211" s="18"/>
      <c r="E211" s="18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ht="12.75" customHeight="1">
      <c r="A212" s="18"/>
      <c r="B212" s="18"/>
      <c r="C212" s="18"/>
      <c r="D212" s="18"/>
      <c r="E212" s="18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ht="12.75" customHeight="1">
      <c r="A213" s="18"/>
      <c r="B213" s="18"/>
      <c r="C213" s="18"/>
      <c r="D213" s="18"/>
      <c r="E213" s="18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ht="12.75" customHeight="1">
      <c r="A214" s="18"/>
      <c r="B214" s="18"/>
      <c r="C214" s="18"/>
      <c r="D214" s="18"/>
      <c r="E214" s="18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ht="12.75" customHeight="1">
      <c r="A215" s="18"/>
      <c r="B215" s="18"/>
      <c r="C215" s="18"/>
      <c r="D215" s="18"/>
      <c r="E215" s="18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ht="12.75" customHeight="1">
      <c r="A216" s="18"/>
      <c r="B216" s="18"/>
      <c r="C216" s="18"/>
      <c r="D216" s="18"/>
      <c r="E216" s="18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ht="12.75" customHeight="1">
      <c r="A217" s="18"/>
      <c r="B217" s="18"/>
      <c r="C217" s="18"/>
      <c r="D217" s="18"/>
      <c r="E217" s="18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ht="12.75" customHeight="1">
      <c r="A218" s="18"/>
      <c r="B218" s="18"/>
      <c r="C218" s="18"/>
      <c r="D218" s="18"/>
      <c r="E218" s="18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ht="12.75" customHeight="1">
      <c r="A219" s="18"/>
      <c r="B219" s="18"/>
      <c r="C219" s="18"/>
      <c r="D219" s="18"/>
      <c r="E219" s="18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ht="12.75" customHeight="1">
      <c r="A220" s="18"/>
      <c r="B220" s="18"/>
      <c r="C220" s="18"/>
      <c r="D220" s="18"/>
      <c r="E220" s="18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ht="12.75" customHeight="1">
      <c r="A221" s="18"/>
      <c r="B221" s="18"/>
      <c r="C221" s="18"/>
      <c r="D221" s="18"/>
      <c r="E221" s="18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ht="12.75" customHeight="1">
      <c r="A222" s="18"/>
      <c r="B222" s="18"/>
      <c r="C222" s="18"/>
      <c r="D222" s="18"/>
      <c r="E222" s="18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ht="12.75" customHeight="1">
      <c r="A223" s="18"/>
      <c r="B223" s="18"/>
      <c r="C223" s="18"/>
      <c r="D223" s="18"/>
      <c r="E223" s="18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ht="12.75" customHeight="1">
      <c r="A224" s="18"/>
      <c r="B224" s="18"/>
      <c r="C224" s="18"/>
      <c r="D224" s="18"/>
      <c r="E224" s="18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ht="12.75" customHeight="1">
      <c r="A225" s="18"/>
      <c r="B225" s="18"/>
      <c r="C225" s="18"/>
      <c r="D225" s="18"/>
      <c r="E225" s="18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ht="12.75" customHeight="1">
      <c r="A226" s="18"/>
      <c r="B226" s="18"/>
      <c r="C226" s="18"/>
      <c r="D226" s="18"/>
      <c r="E226" s="18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ht="12.75" customHeight="1">
      <c r="A227" s="18"/>
      <c r="B227" s="18"/>
      <c r="C227" s="18"/>
      <c r="D227" s="18"/>
      <c r="E227" s="18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ht="12.75" customHeight="1">
      <c r="A228" s="18"/>
      <c r="B228" s="18"/>
      <c r="C228" s="18"/>
      <c r="D228" s="18"/>
      <c r="E228" s="18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ht="12.75" customHeight="1">
      <c r="A229" s="18"/>
      <c r="B229" s="18"/>
      <c r="C229" s="18"/>
      <c r="D229" s="18"/>
      <c r="E229" s="18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ht="12.75" customHeight="1">
      <c r="A230" s="18"/>
      <c r="B230" s="18"/>
      <c r="C230" s="18"/>
      <c r="D230" s="18"/>
      <c r="E230" s="18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ht="12.75" customHeight="1">
      <c r="A231" s="18"/>
      <c r="B231" s="18"/>
      <c r="C231" s="18"/>
      <c r="D231" s="18"/>
      <c r="E231" s="18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ht="12.75" customHeight="1">
      <c r="A232" s="18"/>
      <c r="B232" s="18"/>
      <c r="C232" s="18"/>
      <c r="D232" s="18"/>
      <c r="E232" s="18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ht="12.75" customHeight="1">
      <c r="A233" s="18"/>
      <c r="B233" s="18"/>
      <c r="C233" s="18"/>
      <c r="D233" s="18"/>
      <c r="E233" s="18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ht="12.75" customHeight="1">
      <c r="A234" s="18"/>
      <c r="B234" s="18"/>
      <c r="C234" s="18"/>
      <c r="D234" s="18"/>
      <c r="E234" s="18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ht="12.75" customHeight="1">
      <c r="A235" s="18"/>
      <c r="B235" s="18"/>
      <c r="C235" s="18"/>
      <c r="D235" s="18"/>
      <c r="E235" s="18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ht="12.75" customHeight="1">
      <c r="A236" s="18"/>
      <c r="B236" s="18"/>
      <c r="C236" s="18"/>
      <c r="D236" s="18"/>
      <c r="E236" s="18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ht="12.75" customHeight="1">
      <c r="A237" s="18"/>
      <c r="B237" s="18"/>
      <c r="C237" s="18"/>
      <c r="D237" s="18"/>
      <c r="E237" s="18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ht="12.75" customHeight="1">
      <c r="A238" s="18"/>
      <c r="B238" s="18"/>
      <c r="C238" s="18"/>
      <c r="D238" s="18"/>
      <c r="E238" s="18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ht="12.75" customHeight="1">
      <c r="A239" s="18"/>
      <c r="B239" s="18"/>
      <c r="C239" s="18"/>
      <c r="D239" s="18"/>
      <c r="E239" s="18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ht="12.75" customHeight="1">
      <c r="A240" s="18"/>
      <c r="B240" s="18"/>
      <c r="C240" s="18"/>
      <c r="D240" s="18"/>
      <c r="E240" s="18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ht="12.75" customHeight="1">
      <c r="A241" s="18"/>
      <c r="B241" s="18"/>
      <c r="C241" s="18"/>
      <c r="D241" s="18"/>
      <c r="E241" s="18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ht="12.75" customHeight="1">
      <c r="A242" s="18"/>
      <c r="B242" s="18"/>
      <c r="C242" s="18"/>
      <c r="D242" s="18"/>
      <c r="E242" s="18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ht="12.75" customHeight="1">
      <c r="A243" s="18"/>
      <c r="B243" s="18"/>
      <c r="C243" s="18"/>
      <c r="D243" s="18"/>
      <c r="E243" s="18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ht="12.75" customHeight="1">
      <c r="A244" s="18"/>
      <c r="B244" s="18"/>
      <c r="C244" s="18"/>
      <c r="D244" s="18"/>
      <c r="E244" s="18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ht="12.75" customHeight="1">
      <c r="A245" s="18"/>
      <c r="B245" s="18"/>
      <c r="C245" s="18"/>
      <c r="D245" s="18"/>
      <c r="E245" s="18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ht="12.75" customHeight="1">
      <c r="A246" s="18"/>
      <c r="B246" s="18"/>
      <c r="C246" s="18"/>
      <c r="D246" s="18"/>
      <c r="E246" s="18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ht="12.75" customHeight="1">
      <c r="A247" s="18"/>
      <c r="B247" s="18"/>
      <c r="C247" s="18"/>
      <c r="D247" s="18"/>
      <c r="E247" s="18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ht="12.75" customHeight="1">
      <c r="A248" s="18"/>
      <c r="B248" s="18"/>
      <c r="C248" s="18"/>
      <c r="D248" s="18"/>
      <c r="E248" s="18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ht="12.75" customHeight="1">
      <c r="A249" s="18"/>
      <c r="B249" s="18"/>
      <c r="C249" s="18"/>
      <c r="D249" s="18"/>
      <c r="E249" s="18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ht="12.75" customHeight="1">
      <c r="A250" s="18"/>
      <c r="B250" s="18"/>
      <c r="C250" s="18"/>
      <c r="D250" s="18"/>
      <c r="E250" s="18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ht="12.75" customHeight="1">
      <c r="A251" s="18"/>
      <c r="B251" s="18"/>
      <c r="C251" s="18"/>
      <c r="D251" s="18"/>
      <c r="E251" s="18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ht="12.75" customHeight="1">
      <c r="A252" s="18"/>
      <c r="B252" s="18"/>
      <c r="C252" s="18"/>
      <c r="D252" s="18"/>
      <c r="E252" s="18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ht="12.75" customHeight="1">
      <c r="A253" s="18"/>
      <c r="B253" s="18"/>
      <c r="C253" s="18"/>
      <c r="D253" s="18"/>
      <c r="E253" s="18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ht="12.75" customHeight="1">
      <c r="A254" s="18"/>
      <c r="B254" s="18"/>
      <c r="C254" s="18"/>
      <c r="D254" s="18"/>
      <c r="E254" s="18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ht="12.75" customHeight="1">
      <c r="A255" s="18"/>
      <c r="B255" s="18"/>
      <c r="C255" s="18"/>
      <c r="D255" s="18"/>
      <c r="E255" s="18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ht="12.75" customHeight="1">
      <c r="A256" s="18"/>
      <c r="B256" s="18"/>
      <c r="C256" s="18"/>
      <c r="D256" s="18"/>
      <c r="E256" s="18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ht="12.75" customHeight="1">
      <c r="A257" s="18"/>
      <c r="B257" s="18"/>
      <c r="C257" s="18"/>
      <c r="D257" s="18"/>
      <c r="E257" s="18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ht="12.75" customHeight="1">
      <c r="A258" s="18"/>
      <c r="B258" s="18"/>
      <c r="C258" s="18"/>
      <c r="D258" s="18"/>
      <c r="E258" s="18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ht="12.75" customHeight="1">
      <c r="A259" s="18"/>
      <c r="B259" s="18"/>
      <c r="C259" s="18"/>
      <c r="D259" s="18"/>
      <c r="E259" s="18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ht="12.75" customHeight="1">
      <c r="A260" s="18"/>
      <c r="B260" s="18"/>
      <c r="C260" s="18"/>
      <c r="D260" s="18"/>
      <c r="E260" s="18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ht="12.75" customHeight="1">
      <c r="A261" s="18"/>
      <c r="B261" s="18"/>
      <c r="C261" s="18"/>
      <c r="D261" s="18"/>
      <c r="E261" s="18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ht="12.75" customHeight="1">
      <c r="A262" s="18"/>
      <c r="B262" s="18"/>
      <c r="C262" s="18"/>
      <c r="D262" s="18"/>
      <c r="E262" s="18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ht="12.75" customHeight="1">
      <c r="A263" s="18"/>
      <c r="B263" s="18"/>
      <c r="C263" s="18"/>
      <c r="D263" s="18"/>
      <c r="E263" s="18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ht="12.75" customHeight="1">
      <c r="A264" s="18"/>
      <c r="B264" s="18"/>
      <c r="C264" s="18"/>
      <c r="D264" s="18"/>
      <c r="E264" s="18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ht="12.75" customHeight="1">
      <c r="A265" s="18"/>
      <c r="B265" s="18"/>
      <c r="C265" s="18"/>
      <c r="D265" s="18"/>
      <c r="E265" s="18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ht="12.75" customHeight="1">
      <c r="A266" s="18"/>
      <c r="B266" s="18"/>
      <c r="C266" s="18"/>
      <c r="D266" s="18"/>
      <c r="E266" s="18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ht="12.75" customHeight="1">
      <c r="A267" s="18"/>
      <c r="B267" s="18"/>
      <c r="C267" s="18"/>
      <c r="D267" s="18"/>
      <c r="E267" s="18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ht="12.75" customHeight="1">
      <c r="A268" s="18"/>
      <c r="B268" s="18"/>
      <c r="C268" s="18"/>
      <c r="D268" s="18"/>
      <c r="E268" s="18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ht="12.75" customHeight="1">
      <c r="A269" s="18"/>
      <c r="B269" s="18"/>
      <c r="C269" s="18"/>
      <c r="D269" s="18"/>
      <c r="E269" s="18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ht="12.75" customHeight="1">
      <c r="A270" s="18"/>
      <c r="B270" s="18"/>
      <c r="C270" s="18"/>
      <c r="D270" s="18"/>
      <c r="E270" s="18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ht="12.75" customHeight="1">
      <c r="A271" s="18"/>
      <c r="B271" s="18"/>
      <c r="C271" s="18"/>
      <c r="D271" s="18"/>
      <c r="E271" s="18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ht="12.75" customHeight="1">
      <c r="A272" s="18"/>
      <c r="B272" s="18"/>
      <c r="C272" s="18"/>
      <c r="D272" s="18"/>
      <c r="E272" s="18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ht="12.75" customHeight="1">
      <c r="A273" s="18"/>
      <c r="B273" s="18"/>
      <c r="C273" s="18"/>
      <c r="D273" s="18"/>
      <c r="E273" s="18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ht="12.75" customHeight="1">
      <c r="A274" s="18"/>
      <c r="B274" s="18"/>
      <c r="C274" s="18"/>
      <c r="D274" s="18"/>
      <c r="E274" s="18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ht="12.75" customHeight="1">
      <c r="A275" s="18"/>
      <c r="B275" s="18"/>
      <c r="C275" s="18"/>
      <c r="D275" s="18"/>
      <c r="E275" s="18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ht="12.75" customHeight="1">
      <c r="A276" s="18"/>
      <c r="B276" s="18"/>
      <c r="C276" s="18"/>
      <c r="D276" s="18"/>
      <c r="E276" s="18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ht="12.75" customHeight="1">
      <c r="A277" s="18"/>
      <c r="B277" s="18"/>
      <c r="C277" s="18"/>
      <c r="D277" s="18"/>
      <c r="E277" s="18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ht="12.75" customHeight="1">
      <c r="A278" s="18"/>
      <c r="B278" s="18"/>
      <c r="C278" s="18"/>
      <c r="D278" s="18"/>
      <c r="E278" s="18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ht="12.75" customHeight="1">
      <c r="A279" s="18"/>
      <c r="B279" s="18"/>
      <c r="C279" s="18"/>
      <c r="D279" s="18"/>
      <c r="E279" s="18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ht="12.75" customHeight="1">
      <c r="A280" s="18"/>
      <c r="B280" s="18"/>
      <c r="C280" s="18"/>
      <c r="D280" s="18"/>
      <c r="E280" s="18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ht="12.75" customHeight="1">
      <c r="A281" s="18"/>
      <c r="B281" s="18"/>
      <c r="C281" s="18"/>
      <c r="D281" s="18"/>
      <c r="E281" s="18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ht="12.75" customHeight="1">
      <c r="A282" s="18"/>
      <c r="B282" s="18"/>
      <c r="C282" s="18"/>
      <c r="D282" s="18"/>
      <c r="E282" s="18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ht="12.75" customHeight="1">
      <c r="A283" s="18"/>
      <c r="B283" s="18"/>
      <c r="C283" s="18"/>
      <c r="D283" s="18"/>
      <c r="E283" s="18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ht="12.75" customHeight="1">
      <c r="A284" s="18"/>
      <c r="B284" s="18"/>
      <c r="C284" s="18"/>
      <c r="D284" s="18"/>
      <c r="E284" s="18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ht="12.75" customHeight="1">
      <c r="A285" s="18"/>
      <c r="B285" s="18"/>
      <c r="C285" s="18"/>
      <c r="D285" s="18"/>
      <c r="E285" s="18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ht="12.75" customHeight="1">
      <c r="A286" s="18"/>
      <c r="B286" s="18"/>
      <c r="C286" s="18"/>
      <c r="D286" s="18"/>
      <c r="E286" s="18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ht="12.75" customHeight="1">
      <c r="A287" s="18"/>
      <c r="B287" s="18"/>
      <c r="C287" s="18"/>
      <c r="D287" s="18"/>
      <c r="E287" s="18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ht="12.75" customHeight="1">
      <c r="A288" s="18"/>
      <c r="B288" s="18"/>
      <c r="C288" s="18"/>
      <c r="D288" s="18"/>
      <c r="E288" s="18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ht="12.75" customHeight="1">
      <c r="A289" s="18"/>
      <c r="B289" s="18"/>
      <c r="C289" s="18"/>
      <c r="D289" s="18"/>
      <c r="E289" s="18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ht="12.75" customHeight="1">
      <c r="A290" s="18"/>
      <c r="B290" s="18"/>
      <c r="C290" s="18"/>
      <c r="D290" s="18"/>
      <c r="E290" s="18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ht="12.75" customHeight="1">
      <c r="A291" s="18"/>
      <c r="B291" s="18"/>
      <c r="C291" s="18"/>
      <c r="D291" s="18"/>
      <c r="E291" s="18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ht="12.75" customHeight="1">
      <c r="A292" s="18"/>
      <c r="B292" s="18"/>
      <c r="C292" s="18"/>
      <c r="D292" s="18"/>
      <c r="E292" s="18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ht="12.75" customHeight="1">
      <c r="A293" s="18"/>
      <c r="B293" s="18"/>
      <c r="C293" s="18"/>
      <c r="D293" s="18"/>
      <c r="E293" s="18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ht="12.75" customHeight="1">
      <c r="A294" s="18"/>
      <c r="B294" s="18"/>
      <c r="C294" s="18"/>
      <c r="D294" s="18"/>
      <c r="E294" s="18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ht="12.75" customHeight="1">
      <c r="A295" s="18"/>
      <c r="B295" s="18"/>
      <c r="C295" s="18"/>
      <c r="D295" s="18"/>
      <c r="E295" s="18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ht="12.75" customHeight="1">
      <c r="A296" s="18"/>
      <c r="B296" s="18"/>
      <c r="C296" s="18"/>
      <c r="D296" s="18"/>
      <c r="E296" s="18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ht="12.75" customHeight="1">
      <c r="A297" s="18"/>
      <c r="B297" s="18"/>
      <c r="C297" s="18"/>
      <c r="D297" s="18"/>
      <c r="E297" s="18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ht="12.75" customHeight="1">
      <c r="A298" s="18"/>
      <c r="B298" s="18"/>
      <c r="C298" s="18"/>
      <c r="D298" s="18"/>
      <c r="E298" s="18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ht="12.75" customHeight="1">
      <c r="A299" s="18"/>
      <c r="B299" s="18"/>
      <c r="C299" s="18"/>
      <c r="D299" s="18"/>
      <c r="E299" s="18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ht="12.75" customHeight="1">
      <c r="A300" s="18"/>
      <c r="B300" s="18"/>
      <c r="C300" s="18"/>
      <c r="D300" s="18"/>
      <c r="E300" s="18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ht="12.75" customHeight="1">
      <c r="A301" s="18"/>
      <c r="B301" s="18"/>
      <c r="C301" s="18"/>
      <c r="D301" s="18"/>
      <c r="E301" s="18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ht="12.75" customHeight="1">
      <c r="A302" s="18"/>
      <c r="B302" s="18"/>
      <c r="C302" s="18"/>
      <c r="D302" s="18"/>
      <c r="E302" s="18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ht="12.75" customHeight="1">
      <c r="A303" s="18"/>
      <c r="B303" s="18"/>
      <c r="C303" s="18"/>
      <c r="D303" s="18"/>
      <c r="E303" s="18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ht="12.75" customHeight="1">
      <c r="A304" s="18"/>
      <c r="B304" s="18"/>
      <c r="C304" s="18"/>
      <c r="D304" s="18"/>
      <c r="E304" s="18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ht="12.75" customHeight="1">
      <c r="A305" s="18"/>
      <c r="B305" s="18"/>
      <c r="C305" s="18"/>
      <c r="D305" s="18"/>
      <c r="E305" s="18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ht="12.75" customHeight="1">
      <c r="A306" s="18"/>
      <c r="B306" s="18"/>
      <c r="C306" s="18"/>
      <c r="D306" s="18"/>
      <c r="E306" s="18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ht="12.75" customHeight="1">
      <c r="A307" s="18"/>
      <c r="B307" s="18"/>
      <c r="C307" s="18"/>
      <c r="D307" s="18"/>
      <c r="E307" s="18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ht="12.75" customHeight="1">
      <c r="A308" s="18"/>
      <c r="B308" s="18"/>
      <c r="C308" s="18"/>
      <c r="D308" s="18"/>
      <c r="E308" s="18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ht="12.75" customHeight="1">
      <c r="A309" s="18"/>
      <c r="B309" s="18"/>
      <c r="C309" s="18"/>
      <c r="D309" s="18"/>
      <c r="E309" s="18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ht="12.75" customHeight="1">
      <c r="A310" s="18"/>
      <c r="B310" s="18"/>
      <c r="C310" s="18"/>
      <c r="D310" s="18"/>
      <c r="E310" s="18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ht="12.75" customHeight="1">
      <c r="A311" s="18"/>
      <c r="B311" s="18"/>
      <c r="C311" s="18"/>
      <c r="D311" s="18"/>
      <c r="E311" s="18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ht="12.75" customHeight="1">
      <c r="A312" s="18"/>
      <c r="B312" s="18"/>
      <c r="C312" s="18"/>
      <c r="D312" s="18"/>
      <c r="E312" s="18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ht="12.75" customHeight="1">
      <c r="A313" s="18"/>
      <c r="B313" s="18"/>
      <c r="C313" s="18"/>
      <c r="D313" s="18"/>
      <c r="E313" s="18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ht="12.75" customHeight="1">
      <c r="A314" s="18"/>
      <c r="B314" s="18"/>
      <c r="C314" s="18"/>
      <c r="D314" s="18"/>
      <c r="E314" s="18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ht="12.75" customHeight="1">
      <c r="A315" s="18"/>
      <c r="B315" s="18"/>
      <c r="C315" s="18"/>
      <c r="D315" s="18"/>
      <c r="E315" s="18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ht="12.75" customHeight="1">
      <c r="A316" s="18"/>
      <c r="B316" s="18"/>
      <c r="C316" s="18"/>
      <c r="D316" s="18"/>
      <c r="E316" s="18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ht="12.75" customHeight="1">
      <c r="A317" s="18"/>
      <c r="B317" s="18"/>
      <c r="C317" s="18"/>
      <c r="D317" s="18"/>
      <c r="E317" s="18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ht="12.75" customHeight="1">
      <c r="A318" s="18"/>
      <c r="B318" s="18"/>
      <c r="C318" s="18"/>
      <c r="D318" s="18"/>
      <c r="E318" s="18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ht="12.75" customHeight="1">
      <c r="A319" s="18"/>
      <c r="B319" s="18"/>
      <c r="C319" s="18"/>
      <c r="D319" s="18"/>
      <c r="E319" s="18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ht="12.75" customHeight="1">
      <c r="A320" s="18"/>
      <c r="B320" s="18"/>
      <c r="C320" s="18"/>
      <c r="D320" s="18"/>
      <c r="E320" s="18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ht="12.75" customHeight="1">
      <c r="A321" s="18"/>
      <c r="B321" s="18"/>
      <c r="C321" s="18"/>
      <c r="D321" s="18"/>
      <c r="E321" s="18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ht="12.75" customHeight="1">
      <c r="A322" s="18"/>
      <c r="B322" s="18"/>
      <c r="C322" s="18"/>
      <c r="D322" s="18"/>
      <c r="E322" s="18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ht="12.75" customHeight="1">
      <c r="A323" s="18"/>
      <c r="B323" s="18"/>
      <c r="C323" s="18"/>
      <c r="D323" s="18"/>
      <c r="E323" s="18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ht="12.75" customHeight="1">
      <c r="A324" s="18"/>
      <c r="B324" s="18"/>
      <c r="C324" s="18"/>
      <c r="D324" s="18"/>
      <c r="E324" s="18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ht="12.75" customHeight="1">
      <c r="A325" s="18"/>
      <c r="B325" s="18"/>
      <c r="C325" s="18"/>
      <c r="D325" s="18"/>
      <c r="E325" s="18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ht="12.75" customHeight="1">
      <c r="A326" s="18"/>
      <c r="B326" s="18"/>
      <c r="C326" s="18"/>
      <c r="D326" s="18"/>
      <c r="E326" s="18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ht="12.75" customHeight="1">
      <c r="A327" s="18"/>
      <c r="B327" s="18"/>
      <c r="C327" s="18"/>
      <c r="D327" s="18"/>
      <c r="E327" s="18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ht="12.75" customHeight="1">
      <c r="A328" s="18"/>
      <c r="B328" s="18"/>
      <c r="C328" s="18"/>
      <c r="D328" s="18"/>
      <c r="E328" s="1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ht="12.75" customHeight="1">
      <c r="A329" s="18"/>
      <c r="B329" s="18"/>
      <c r="C329" s="18"/>
      <c r="D329" s="18"/>
      <c r="E329" s="18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ht="12.75" customHeight="1">
      <c r="A330" s="18"/>
      <c r="B330" s="18"/>
      <c r="C330" s="18"/>
      <c r="D330" s="18"/>
      <c r="E330" s="18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ht="12.75" customHeight="1">
      <c r="A331" s="18"/>
      <c r="B331" s="18"/>
      <c r="C331" s="18"/>
      <c r="D331" s="18"/>
      <c r="E331" s="18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ht="12.75" customHeight="1">
      <c r="A332" s="18"/>
      <c r="B332" s="18"/>
      <c r="C332" s="18"/>
      <c r="D332" s="18"/>
      <c r="E332" s="18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ht="12.75" customHeight="1">
      <c r="A333" s="18"/>
      <c r="B333" s="18"/>
      <c r="C333" s="18"/>
      <c r="D333" s="18"/>
      <c r="E333" s="18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ht="12.75" customHeight="1">
      <c r="A334" s="18"/>
      <c r="B334" s="18"/>
      <c r="C334" s="18"/>
      <c r="D334" s="18"/>
      <c r="E334" s="18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ht="12.75" customHeight="1">
      <c r="A335" s="18"/>
      <c r="B335" s="18"/>
      <c r="C335" s="18"/>
      <c r="D335" s="18"/>
      <c r="E335" s="18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ht="12.75" customHeight="1">
      <c r="A336" s="18"/>
      <c r="B336" s="18"/>
      <c r="C336" s="18"/>
      <c r="D336" s="18"/>
      <c r="E336" s="18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ht="12.75" customHeight="1">
      <c r="A337" s="18"/>
      <c r="B337" s="18"/>
      <c r="C337" s="18"/>
      <c r="D337" s="18"/>
      <c r="E337" s="18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ht="12.75" customHeight="1">
      <c r="A338" s="18"/>
      <c r="B338" s="18"/>
      <c r="C338" s="18"/>
      <c r="D338" s="18"/>
      <c r="E338" s="1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ht="12.75" customHeight="1">
      <c r="A339" s="18"/>
      <c r="B339" s="18"/>
      <c r="C339" s="18"/>
      <c r="D339" s="18"/>
      <c r="E339" s="18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ht="12.75" customHeight="1">
      <c r="A340" s="18"/>
      <c r="B340" s="18"/>
      <c r="C340" s="18"/>
      <c r="D340" s="18"/>
      <c r="E340" s="18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ht="12.75" customHeight="1">
      <c r="A341" s="18"/>
      <c r="B341" s="18"/>
      <c r="C341" s="18"/>
      <c r="D341" s="18"/>
      <c r="E341" s="18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ht="12.75" customHeight="1">
      <c r="A342" s="18"/>
      <c r="B342" s="18"/>
      <c r="C342" s="18"/>
      <c r="D342" s="18"/>
      <c r="E342" s="18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ht="12.75" customHeight="1">
      <c r="A343" s="18"/>
      <c r="B343" s="18"/>
      <c r="C343" s="18"/>
      <c r="D343" s="18"/>
      <c r="E343" s="18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ht="12.75" customHeight="1">
      <c r="A344" s="18"/>
      <c r="B344" s="18"/>
      <c r="C344" s="18"/>
      <c r="D344" s="18"/>
      <c r="E344" s="18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ht="12.75" customHeight="1">
      <c r="A345" s="18"/>
      <c r="B345" s="18"/>
      <c r="C345" s="18"/>
      <c r="D345" s="18"/>
      <c r="E345" s="18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ht="12.75" customHeight="1">
      <c r="A346" s="18"/>
      <c r="B346" s="18"/>
      <c r="C346" s="18"/>
      <c r="D346" s="18"/>
      <c r="E346" s="18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ht="12.75" customHeight="1">
      <c r="A347" s="18"/>
      <c r="B347" s="18"/>
      <c r="C347" s="18"/>
      <c r="D347" s="18"/>
      <c r="E347" s="18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ht="12.75" customHeight="1">
      <c r="A348" s="18"/>
      <c r="B348" s="18"/>
      <c r="C348" s="18"/>
      <c r="D348" s="18"/>
      <c r="E348" s="1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ht="12.75" customHeight="1">
      <c r="A349" s="18"/>
      <c r="B349" s="18"/>
      <c r="C349" s="18"/>
      <c r="D349" s="18"/>
      <c r="E349" s="18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ht="12.75" customHeight="1">
      <c r="A350" s="18"/>
      <c r="B350" s="18"/>
      <c r="C350" s="18"/>
      <c r="D350" s="18"/>
      <c r="E350" s="18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ht="12.75" customHeight="1">
      <c r="A351" s="18"/>
      <c r="B351" s="18"/>
      <c r="C351" s="18"/>
      <c r="D351" s="18"/>
      <c r="E351" s="18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ht="12.75" customHeight="1">
      <c r="A352" s="18"/>
      <c r="B352" s="18"/>
      <c r="C352" s="18"/>
      <c r="D352" s="18"/>
      <c r="E352" s="18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ht="12.75" customHeight="1">
      <c r="A353" s="18"/>
      <c r="B353" s="18"/>
      <c r="C353" s="18"/>
      <c r="D353" s="18"/>
      <c r="E353" s="18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ht="12.75" customHeight="1">
      <c r="A354" s="18"/>
      <c r="B354" s="18"/>
      <c r="C354" s="18"/>
      <c r="D354" s="18"/>
      <c r="E354" s="18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ht="12.75" customHeight="1">
      <c r="A355" s="18"/>
      <c r="B355" s="18"/>
      <c r="C355" s="18"/>
      <c r="D355" s="18"/>
      <c r="E355" s="18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ht="12.75" customHeight="1">
      <c r="A356" s="18"/>
      <c r="B356" s="18"/>
      <c r="C356" s="18"/>
      <c r="D356" s="18"/>
      <c r="E356" s="18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ht="12.75" customHeight="1">
      <c r="A357" s="18"/>
      <c r="B357" s="18"/>
      <c r="C357" s="18"/>
      <c r="D357" s="18"/>
      <c r="E357" s="18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ht="12.75" customHeight="1">
      <c r="A358" s="18"/>
      <c r="B358" s="18"/>
      <c r="C358" s="18"/>
      <c r="D358" s="18"/>
      <c r="E358" s="1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ht="12.75" customHeight="1">
      <c r="A359" s="18"/>
      <c r="B359" s="18"/>
      <c r="C359" s="18"/>
      <c r="D359" s="18"/>
      <c r="E359" s="18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ht="12.75" customHeight="1">
      <c r="A360" s="18"/>
      <c r="B360" s="18"/>
      <c r="C360" s="18"/>
      <c r="D360" s="18"/>
      <c r="E360" s="18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ht="12.75" customHeight="1">
      <c r="A361" s="18"/>
      <c r="B361" s="18"/>
      <c r="C361" s="18"/>
      <c r="D361" s="18"/>
      <c r="E361" s="18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ht="12.75" customHeight="1">
      <c r="A362" s="18"/>
      <c r="B362" s="18"/>
      <c r="C362" s="18"/>
      <c r="D362" s="18"/>
      <c r="E362" s="18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ht="12.75" customHeight="1">
      <c r="A363" s="18"/>
      <c r="B363" s="18"/>
      <c r="C363" s="18"/>
      <c r="D363" s="18"/>
      <c r="E363" s="18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ht="12.75" customHeight="1">
      <c r="A364" s="18"/>
      <c r="B364" s="18"/>
      <c r="C364" s="18"/>
      <c r="D364" s="18"/>
      <c r="E364" s="18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ht="12.75" customHeight="1">
      <c r="A365" s="18"/>
      <c r="B365" s="18"/>
      <c r="C365" s="18"/>
      <c r="D365" s="18"/>
      <c r="E365" s="18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ht="12.75" customHeight="1">
      <c r="A366" s="18"/>
      <c r="B366" s="18"/>
      <c r="C366" s="18"/>
      <c r="D366" s="18"/>
      <c r="E366" s="18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ht="12.75" customHeight="1">
      <c r="A367" s="18"/>
      <c r="B367" s="18"/>
      <c r="C367" s="18"/>
      <c r="D367" s="18"/>
      <c r="E367" s="18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ht="12.75" customHeight="1">
      <c r="A368" s="18"/>
      <c r="B368" s="18"/>
      <c r="C368" s="18"/>
      <c r="D368" s="18"/>
      <c r="E368" s="1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ht="12.75" customHeight="1">
      <c r="A369" s="18"/>
      <c r="B369" s="18"/>
      <c r="C369" s="18"/>
      <c r="D369" s="18"/>
      <c r="E369" s="18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ht="12.75" customHeight="1">
      <c r="A370" s="18"/>
      <c r="B370" s="18"/>
      <c r="C370" s="18"/>
      <c r="D370" s="18"/>
      <c r="E370" s="18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ht="12.75" customHeight="1">
      <c r="A371" s="18"/>
      <c r="B371" s="18"/>
      <c r="C371" s="18"/>
      <c r="D371" s="18"/>
      <c r="E371" s="18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ht="12.75" customHeight="1">
      <c r="A372" s="18"/>
      <c r="B372" s="18"/>
      <c r="C372" s="18"/>
      <c r="D372" s="18"/>
      <c r="E372" s="18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ht="12.75" customHeight="1">
      <c r="A373" s="18"/>
      <c r="B373" s="18"/>
      <c r="C373" s="18"/>
      <c r="D373" s="18"/>
      <c r="E373" s="18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ht="12.75" customHeight="1">
      <c r="A374" s="18"/>
      <c r="B374" s="18"/>
      <c r="C374" s="18"/>
      <c r="D374" s="18"/>
      <c r="E374" s="18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ht="12.75" customHeight="1">
      <c r="A375" s="18"/>
      <c r="B375" s="18"/>
      <c r="C375" s="18"/>
      <c r="D375" s="18"/>
      <c r="E375" s="18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ht="12.75" customHeight="1">
      <c r="A376" s="18"/>
      <c r="B376" s="18"/>
      <c r="C376" s="18"/>
      <c r="D376" s="18"/>
      <c r="E376" s="18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ht="12.75" customHeight="1">
      <c r="A377" s="18"/>
      <c r="B377" s="18"/>
      <c r="C377" s="18"/>
      <c r="D377" s="18"/>
      <c r="E377" s="18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ht="12.75" customHeight="1">
      <c r="A378" s="18"/>
      <c r="B378" s="18"/>
      <c r="C378" s="18"/>
      <c r="D378" s="18"/>
      <c r="E378" s="1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ht="12.75" customHeight="1">
      <c r="A379" s="18"/>
      <c r="B379" s="18"/>
      <c r="C379" s="18"/>
      <c r="D379" s="18"/>
      <c r="E379" s="18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ht="12.75" customHeight="1">
      <c r="A380" s="18"/>
      <c r="B380" s="18"/>
      <c r="C380" s="18"/>
      <c r="D380" s="18"/>
      <c r="E380" s="18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ht="12.75" customHeight="1">
      <c r="A381" s="18"/>
      <c r="B381" s="18"/>
      <c r="C381" s="18"/>
      <c r="D381" s="18"/>
      <c r="E381" s="18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ht="12.75" customHeight="1">
      <c r="A382" s="18"/>
      <c r="B382" s="18"/>
      <c r="C382" s="18"/>
      <c r="D382" s="18"/>
      <c r="E382" s="18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ht="12.75" customHeight="1">
      <c r="A383" s="18"/>
      <c r="B383" s="18"/>
      <c r="C383" s="18"/>
      <c r="D383" s="18"/>
      <c r="E383" s="18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ht="12.75" customHeight="1">
      <c r="A384" s="18"/>
      <c r="B384" s="18"/>
      <c r="C384" s="18"/>
      <c r="D384" s="18"/>
      <c r="E384" s="18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ht="12.75" customHeight="1">
      <c r="A385" s="18"/>
      <c r="B385" s="18"/>
      <c r="C385" s="18"/>
      <c r="D385" s="18"/>
      <c r="E385" s="18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ht="12.75" customHeight="1">
      <c r="A386" s="18"/>
      <c r="B386" s="18"/>
      <c r="C386" s="18"/>
      <c r="D386" s="18"/>
      <c r="E386" s="18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ht="12.75" customHeight="1">
      <c r="A387" s="18"/>
      <c r="B387" s="18"/>
      <c r="C387" s="18"/>
      <c r="D387" s="18"/>
      <c r="E387" s="18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ht="12.75" customHeight="1">
      <c r="A388" s="18"/>
      <c r="B388" s="18"/>
      <c r="C388" s="18"/>
      <c r="D388" s="18"/>
      <c r="E388" s="1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ht="12.75" customHeight="1">
      <c r="A389" s="18"/>
      <c r="B389" s="18"/>
      <c r="C389" s="18"/>
      <c r="D389" s="18"/>
      <c r="E389" s="18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ht="12.75" customHeight="1">
      <c r="A390" s="18"/>
      <c r="B390" s="18"/>
      <c r="C390" s="18"/>
      <c r="D390" s="18"/>
      <c r="E390" s="18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ht="12.75" customHeight="1">
      <c r="A391" s="18"/>
      <c r="B391" s="18"/>
      <c r="C391" s="18"/>
      <c r="D391" s="18"/>
      <c r="E391" s="18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ht="12.75" customHeight="1">
      <c r="A392" s="18"/>
      <c r="B392" s="18"/>
      <c r="C392" s="18"/>
      <c r="D392" s="18"/>
      <c r="E392" s="18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ht="12.75" customHeight="1">
      <c r="A393" s="18"/>
      <c r="B393" s="18"/>
      <c r="C393" s="18"/>
      <c r="D393" s="18"/>
      <c r="E393" s="18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ht="12.75" customHeight="1">
      <c r="A394" s="18"/>
      <c r="B394" s="18"/>
      <c r="C394" s="18"/>
      <c r="D394" s="18"/>
      <c r="E394" s="18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ht="12.75" customHeight="1">
      <c r="A395" s="18"/>
      <c r="B395" s="18"/>
      <c r="C395" s="18"/>
      <c r="D395" s="18"/>
      <c r="E395" s="18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ht="12.75" customHeight="1">
      <c r="A396" s="18"/>
      <c r="B396" s="18"/>
      <c r="C396" s="18"/>
      <c r="D396" s="18"/>
      <c r="E396" s="18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ht="12.75" customHeight="1">
      <c r="A397" s="18"/>
      <c r="B397" s="18"/>
      <c r="C397" s="18"/>
      <c r="D397" s="18"/>
      <c r="E397" s="18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ht="12.75" customHeight="1">
      <c r="A398" s="18"/>
      <c r="B398" s="18"/>
      <c r="C398" s="18"/>
      <c r="D398" s="18"/>
      <c r="E398" s="18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ht="12.75" customHeight="1">
      <c r="A399" s="18"/>
      <c r="B399" s="18"/>
      <c r="C399" s="18"/>
      <c r="D399" s="18"/>
      <c r="E399" s="18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ht="12.75" customHeight="1">
      <c r="A400" s="18"/>
      <c r="B400" s="18"/>
      <c r="C400" s="18"/>
      <c r="D400" s="18"/>
      <c r="E400" s="18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ht="12.75" customHeight="1">
      <c r="A401" s="18"/>
      <c r="B401" s="18"/>
      <c r="C401" s="18"/>
      <c r="D401" s="18"/>
      <c r="E401" s="18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ht="12.75" customHeight="1">
      <c r="A402" s="18"/>
      <c r="B402" s="18"/>
      <c r="C402" s="18"/>
      <c r="D402" s="18"/>
      <c r="E402" s="18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ht="12.75" customHeight="1">
      <c r="A403" s="18"/>
      <c r="B403" s="18"/>
      <c r="C403" s="18"/>
      <c r="D403" s="18"/>
      <c r="E403" s="1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ht="12.75" customHeight="1">
      <c r="A404" s="18"/>
      <c r="B404" s="18"/>
      <c r="C404" s="18"/>
      <c r="D404" s="18"/>
      <c r="E404" s="1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ht="12.75" customHeight="1">
      <c r="A405" s="18"/>
      <c r="B405" s="18"/>
      <c r="C405" s="18"/>
      <c r="D405" s="18"/>
      <c r="E405" s="1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ht="12.75" customHeight="1">
      <c r="A406" s="18"/>
      <c r="B406" s="18"/>
      <c r="C406" s="18"/>
      <c r="D406" s="18"/>
      <c r="E406" s="1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ht="12.75" customHeight="1">
      <c r="A407" s="18"/>
      <c r="B407" s="18"/>
      <c r="C407" s="18"/>
      <c r="D407" s="18"/>
      <c r="E407" s="1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ht="12.75" customHeight="1">
      <c r="A408" s="18"/>
      <c r="B408" s="18"/>
      <c r="C408" s="18"/>
      <c r="D408" s="18"/>
      <c r="E408" s="1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ht="12.75" customHeight="1">
      <c r="A409" s="18"/>
      <c r="B409" s="18"/>
      <c r="C409" s="18"/>
      <c r="D409" s="18"/>
      <c r="E409" s="1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ht="12.75" customHeight="1">
      <c r="A410" s="18"/>
      <c r="B410" s="18"/>
      <c r="C410" s="18"/>
      <c r="D410" s="18"/>
      <c r="E410" s="1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ht="12.75" customHeight="1">
      <c r="A411" s="18"/>
      <c r="B411" s="18"/>
      <c r="C411" s="18"/>
      <c r="D411" s="18"/>
      <c r="E411" s="1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ht="12.75" customHeight="1">
      <c r="A412" s="18"/>
      <c r="B412" s="18"/>
      <c r="C412" s="18"/>
      <c r="D412" s="18"/>
      <c r="E412" s="1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ht="12.75" customHeight="1">
      <c r="A413" s="18"/>
      <c r="B413" s="18"/>
      <c r="C413" s="18"/>
      <c r="D413" s="18"/>
      <c r="E413" s="1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ht="12.75" customHeight="1">
      <c r="A414" s="18"/>
      <c r="B414" s="18"/>
      <c r="C414" s="18"/>
      <c r="D414" s="18"/>
      <c r="E414" s="1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ht="12.75" customHeight="1">
      <c r="A415" s="18"/>
      <c r="B415" s="18"/>
      <c r="C415" s="18"/>
      <c r="D415" s="18"/>
      <c r="E415" s="1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ht="12.75" customHeight="1">
      <c r="A416" s="18"/>
      <c r="B416" s="18"/>
      <c r="C416" s="18"/>
      <c r="D416" s="18"/>
      <c r="E416" s="1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ht="12.75" customHeight="1">
      <c r="A417" s="18"/>
      <c r="B417" s="18"/>
      <c r="C417" s="18"/>
      <c r="D417" s="18"/>
      <c r="E417" s="1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ht="12.75" customHeight="1">
      <c r="A418" s="18"/>
      <c r="B418" s="18"/>
      <c r="C418" s="18"/>
      <c r="D418" s="18"/>
      <c r="E418" s="1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ht="12.75" customHeight="1">
      <c r="A419" s="18"/>
      <c r="B419" s="18"/>
      <c r="C419" s="18"/>
      <c r="D419" s="18"/>
      <c r="E419" s="1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ht="12.75" customHeight="1">
      <c r="A420" s="18"/>
      <c r="B420" s="18"/>
      <c r="C420" s="18"/>
      <c r="D420" s="18"/>
      <c r="E420" s="1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ht="12.75" customHeight="1">
      <c r="A421" s="18"/>
      <c r="B421" s="18"/>
      <c r="C421" s="18"/>
      <c r="D421" s="18"/>
      <c r="E421" s="1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ht="12.75" customHeight="1">
      <c r="A422" s="18"/>
      <c r="B422" s="18"/>
      <c r="C422" s="18"/>
      <c r="D422" s="18"/>
      <c r="E422" s="1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ht="12.75" customHeight="1">
      <c r="A423" s="18"/>
      <c r="B423" s="18"/>
      <c r="C423" s="18"/>
      <c r="D423" s="18"/>
      <c r="E423" s="1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ht="12.75" customHeight="1">
      <c r="A424" s="18"/>
      <c r="B424" s="18"/>
      <c r="C424" s="18"/>
      <c r="D424" s="18"/>
      <c r="E424" s="1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ht="12.75" customHeight="1">
      <c r="A425" s="18"/>
      <c r="B425" s="18"/>
      <c r="C425" s="18"/>
      <c r="D425" s="18"/>
      <c r="E425" s="1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ht="12.75" customHeight="1">
      <c r="A426" s="18"/>
      <c r="B426" s="18"/>
      <c r="C426" s="18"/>
      <c r="D426" s="18"/>
      <c r="E426" s="1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ht="12.75" customHeight="1">
      <c r="A427" s="18"/>
      <c r="B427" s="18"/>
      <c r="C427" s="18"/>
      <c r="D427" s="18"/>
      <c r="E427" s="1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ht="12.75" customHeight="1">
      <c r="A428" s="18"/>
      <c r="B428" s="18"/>
      <c r="C428" s="18"/>
      <c r="D428" s="18"/>
      <c r="E428" s="1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ht="12.75" customHeight="1">
      <c r="A429" s="18"/>
      <c r="B429" s="18"/>
      <c r="C429" s="18"/>
      <c r="D429" s="18"/>
      <c r="E429" s="1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ht="12.75" customHeight="1">
      <c r="A430" s="18"/>
      <c r="B430" s="18"/>
      <c r="C430" s="18"/>
      <c r="D430" s="18"/>
      <c r="E430" s="1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ht="12.75" customHeight="1">
      <c r="A431" s="18"/>
      <c r="B431" s="18"/>
      <c r="C431" s="18"/>
      <c r="D431" s="18"/>
      <c r="E431" s="1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ht="12.75" customHeight="1">
      <c r="A432" s="18"/>
      <c r="B432" s="18"/>
      <c r="C432" s="18"/>
      <c r="D432" s="18"/>
      <c r="E432" s="1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ht="12.75" customHeight="1">
      <c r="A433" s="18"/>
      <c r="B433" s="18"/>
      <c r="C433" s="18"/>
      <c r="D433" s="18"/>
      <c r="E433" s="1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ht="12.75" customHeight="1">
      <c r="A434" s="18"/>
      <c r="B434" s="18"/>
      <c r="C434" s="18"/>
      <c r="D434" s="18"/>
      <c r="E434" s="1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ht="12.75" customHeight="1">
      <c r="A435" s="18"/>
      <c r="B435" s="18"/>
      <c r="C435" s="18"/>
      <c r="D435" s="18"/>
      <c r="E435" s="1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ht="12.75" customHeight="1">
      <c r="A436" s="18"/>
      <c r="B436" s="18"/>
      <c r="C436" s="18"/>
      <c r="D436" s="18"/>
      <c r="E436" s="1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ht="12.75" customHeight="1">
      <c r="A437" s="18"/>
      <c r="B437" s="18"/>
      <c r="C437" s="18"/>
      <c r="D437" s="18"/>
      <c r="E437" s="1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ht="12.75" customHeight="1">
      <c r="A438" s="18"/>
      <c r="B438" s="18"/>
      <c r="C438" s="18"/>
      <c r="D438" s="18"/>
      <c r="E438" s="1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ht="12.75" customHeight="1">
      <c r="A439" s="18"/>
      <c r="B439" s="18"/>
      <c r="C439" s="18"/>
      <c r="D439" s="18"/>
      <c r="E439" s="1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ht="12.75" customHeight="1">
      <c r="A440" s="18"/>
      <c r="B440" s="18"/>
      <c r="C440" s="18"/>
      <c r="D440" s="18"/>
      <c r="E440" s="1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ht="12.75" customHeight="1">
      <c r="A441" s="18"/>
      <c r="B441" s="18"/>
      <c r="C441" s="18"/>
      <c r="D441" s="18"/>
      <c r="E441" s="1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ht="12.75" customHeight="1">
      <c r="A442" s="18"/>
      <c r="B442" s="18"/>
      <c r="C442" s="18"/>
      <c r="D442" s="18"/>
      <c r="E442" s="1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ht="12.75" customHeight="1">
      <c r="A443" s="18"/>
      <c r="B443" s="18"/>
      <c r="C443" s="18"/>
      <c r="D443" s="18"/>
      <c r="E443" s="1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ht="12.75" customHeight="1">
      <c r="A444" s="18"/>
      <c r="B444" s="18"/>
      <c r="C444" s="18"/>
      <c r="D444" s="18"/>
      <c r="E444" s="1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ht="12.75" customHeight="1">
      <c r="A445" s="18"/>
      <c r="B445" s="18"/>
      <c r="C445" s="18"/>
      <c r="D445" s="18"/>
      <c r="E445" s="18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ht="12.75" customHeight="1">
      <c r="A446" s="18"/>
      <c r="B446" s="18"/>
      <c r="C446" s="18"/>
      <c r="D446" s="18"/>
      <c r="E446" s="18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ht="12.75" customHeight="1">
      <c r="A447" s="18"/>
      <c r="B447" s="18"/>
      <c r="C447" s="18"/>
      <c r="D447" s="18"/>
      <c r="E447" s="18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ht="12.75" customHeight="1">
      <c r="A448" s="18"/>
      <c r="B448" s="18"/>
      <c r="C448" s="18"/>
      <c r="D448" s="18"/>
      <c r="E448" s="18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ht="12.75" customHeight="1">
      <c r="A449" s="18"/>
      <c r="B449" s="18"/>
      <c r="C449" s="18"/>
      <c r="D449" s="18"/>
      <c r="E449" s="18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ht="12.75" customHeight="1">
      <c r="A450" s="18"/>
      <c r="B450" s="18"/>
      <c r="C450" s="18"/>
      <c r="D450" s="18"/>
      <c r="E450" s="18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ht="12.75" customHeight="1">
      <c r="A451" s="18"/>
      <c r="B451" s="18"/>
      <c r="C451" s="18"/>
      <c r="D451" s="18"/>
      <c r="E451" s="18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ht="12.75" customHeight="1">
      <c r="A452" s="18"/>
      <c r="B452" s="18"/>
      <c r="C452" s="18"/>
      <c r="D452" s="18"/>
      <c r="E452" s="18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ht="12.75" customHeight="1">
      <c r="A453" s="18"/>
      <c r="B453" s="18"/>
      <c r="C453" s="18"/>
      <c r="D453" s="18"/>
      <c r="E453" s="18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ht="12.75" customHeight="1">
      <c r="A454" s="18"/>
      <c r="B454" s="18"/>
      <c r="C454" s="18"/>
      <c r="D454" s="18"/>
      <c r="E454" s="18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ht="12.75" customHeight="1">
      <c r="A455" s="18"/>
      <c r="B455" s="18"/>
      <c r="C455" s="18"/>
      <c r="D455" s="18"/>
      <c r="E455" s="18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ht="12.75" customHeight="1">
      <c r="A456" s="18"/>
      <c r="B456" s="18"/>
      <c r="C456" s="18"/>
      <c r="D456" s="18"/>
      <c r="E456" s="18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ht="12.75" customHeight="1">
      <c r="A457" s="18"/>
      <c r="B457" s="18"/>
      <c r="C457" s="18"/>
      <c r="D457" s="18"/>
      <c r="E457" s="18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ht="12.75" customHeight="1">
      <c r="A458" s="18"/>
      <c r="B458" s="18"/>
      <c r="C458" s="18"/>
      <c r="D458" s="18"/>
      <c r="E458" s="18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ht="12.75" customHeight="1">
      <c r="A459" s="18"/>
      <c r="B459" s="18"/>
      <c r="C459" s="18"/>
      <c r="D459" s="18"/>
      <c r="E459" s="18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ht="12.75" customHeight="1">
      <c r="A460" s="18"/>
      <c r="B460" s="18"/>
      <c r="C460" s="18"/>
      <c r="D460" s="18"/>
      <c r="E460" s="18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ht="12.75" customHeight="1">
      <c r="A461" s="18"/>
      <c r="B461" s="18"/>
      <c r="C461" s="18"/>
      <c r="D461" s="18"/>
      <c r="E461" s="18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ht="12.75" customHeight="1">
      <c r="A462" s="18"/>
      <c r="B462" s="18"/>
      <c r="C462" s="18"/>
      <c r="D462" s="18"/>
      <c r="E462" s="18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ht="12.75" customHeight="1">
      <c r="A463" s="18"/>
      <c r="B463" s="18"/>
      <c r="C463" s="18"/>
      <c r="D463" s="18"/>
      <c r="E463" s="18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ht="12.75" customHeight="1">
      <c r="A464" s="18"/>
      <c r="B464" s="18"/>
      <c r="C464" s="18"/>
      <c r="D464" s="18"/>
      <c r="E464" s="18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ht="12.75" customHeight="1">
      <c r="A465" s="18"/>
      <c r="B465" s="18"/>
      <c r="C465" s="18"/>
      <c r="D465" s="18"/>
      <c r="E465" s="18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ht="12.75" customHeight="1">
      <c r="A466" s="18"/>
      <c r="B466" s="18"/>
      <c r="C466" s="18"/>
      <c r="D466" s="18"/>
      <c r="E466" s="18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ht="12.75" customHeight="1">
      <c r="A467" s="18"/>
      <c r="B467" s="18"/>
      <c r="C467" s="18"/>
      <c r="D467" s="18"/>
      <c r="E467" s="18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ht="12.75" customHeight="1">
      <c r="A468" s="18"/>
      <c r="B468" s="18"/>
      <c r="C468" s="18"/>
      <c r="D468" s="18"/>
      <c r="E468" s="18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ht="12.75" customHeight="1">
      <c r="A469" s="18"/>
      <c r="B469" s="18"/>
      <c r="C469" s="18"/>
      <c r="D469" s="18"/>
      <c r="E469" s="18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ht="12.75" customHeight="1">
      <c r="A470" s="18"/>
      <c r="B470" s="18"/>
      <c r="C470" s="18"/>
      <c r="D470" s="18"/>
      <c r="E470" s="18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ht="12.75" customHeight="1">
      <c r="A471" s="18"/>
      <c r="B471" s="18"/>
      <c r="C471" s="18"/>
      <c r="D471" s="18"/>
      <c r="E471" s="18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ht="12.75" customHeight="1">
      <c r="A472" s="18"/>
      <c r="B472" s="18"/>
      <c r="C472" s="18"/>
      <c r="D472" s="18"/>
      <c r="E472" s="18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ht="12.75" customHeight="1">
      <c r="A473" s="18"/>
      <c r="B473" s="18"/>
      <c r="C473" s="18"/>
      <c r="D473" s="18"/>
      <c r="E473" s="18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ht="12.75" customHeight="1">
      <c r="A474" s="18"/>
      <c r="B474" s="18"/>
      <c r="C474" s="18"/>
      <c r="D474" s="18"/>
      <c r="E474" s="18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ht="12.75" customHeight="1">
      <c r="A475" s="18"/>
      <c r="B475" s="18"/>
      <c r="C475" s="18"/>
      <c r="D475" s="18"/>
      <c r="E475" s="18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ht="12.75" customHeight="1">
      <c r="A476" s="18"/>
      <c r="B476" s="18"/>
      <c r="C476" s="18"/>
      <c r="D476" s="18"/>
      <c r="E476" s="18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ht="12.75" customHeight="1">
      <c r="A477" s="18"/>
      <c r="B477" s="18"/>
      <c r="C477" s="18"/>
      <c r="D477" s="18"/>
      <c r="E477" s="18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ht="12.75" customHeight="1">
      <c r="A478" s="18"/>
      <c r="B478" s="18"/>
      <c r="C478" s="18"/>
      <c r="D478" s="18"/>
      <c r="E478" s="18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ht="12.75" customHeight="1">
      <c r="A479" s="18"/>
      <c r="B479" s="18"/>
      <c r="C479" s="18"/>
      <c r="D479" s="18"/>
      <c r="E479" s="18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ht="12.75" customHeight="1">
      <c r="A480" s="18"/>
      <c r="B480" s="18"/>
      <c r="C480" s="18"/>
      <c r="D480" s="18"/>
      <c r="E480" s="18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ht="12.75" customHeight="1">
      <c r="A481" s="18"/>
      <c r="B481" s="18"/>
      <c r="C481" s="18"/>
      <c r="D481" s="18"/>
      <c r="E481" s="18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ht="12.75" customHeight="1">
      <c r="A482" s="18"/>
      <c r="B482" s="18"/>
      <c r="C482" s="18"/>
      <c r="D482" s="18"/>
      <c r="E482" s="18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ht="12.75" customHeight="1">
      <c r="A483" s="18"/>
      <c r="B483" s="18"/>
      <c r="C483" s="18"/>
      <c r="D483" s="18"/>
      <c r="E483" s="18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ht="12.75" customHeight="1">
      <c r="A484" s="18"/>
      <c r="B484" s="18"/>
      <c r="C484" s="18"/>
      <c r="D484" s="18"/>
      <c r="E484" s="18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ht="12.75" customHeight="1">
      <c r="A485" s="18"/>
      <c r="B485" s="18"/>
      <c r="C485" s="18"/>
      <c r="D485" s="18"/>
      <c r="E485" s="18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ht="12.75" customHeight="1">
      <c r="A486" s="18"/>
      <c r="B486" s="18"/>
      <c r="C486" s="18"/>
      <c r="D486" s="18"/>
      <c r="E486" s="18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ht="12.75" customHeight="1">
      <c r="A487" s="18"/>
      <c r="B487" s="18"/>
      <c r="C487" s="18"/>
      <c r="D487" s="18"/>
      <c r="E487" s="18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ht="12.75" customHeight="1">
      <c r="A488" s="18"/>
      <c r="B488" s="18"/>
      <c r="C488" s="18"/>
      <c r="D488" s="18"/>
      <c r="E488" s="18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ht="12.75" customHeight="1">
      <c r="A489" s="18"/>
      <c r="B489" s="18"/>
      <c r="C489" s="18"/>
      <c r="D489" s="18"/>
      <c r="E489" s="18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ht="12.75" customHeight="1">
      <c r="A490" s="18"/>
      <c r="B490" s="18"/>
      <c r="C490" s="18"/>
      <c r="D490" s="18"/>
      <c r="E490" s="18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ht="12.75" customHeight="1">
      <c r="A491" s="18"/>
      <c r="B491" s="18"/>
      <c r="C491" s="18"/>
      <c r="D491" s="18"/>
      <c r="E491" s="18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ht="12.75" customHeight="1">
      <c r="A492" s="18"/>
      <c r="B492" s="18"/>
      <c r="C492" s="18"/>
      <c r="D492" s="18"/>
      <c r="E492" s="18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ht="12.75" customHeight="1">
      <c r="A493" s="18"/>
      <c r="B493" s="18"/>
      <c r="C493" s="18"/>
      <c r="D493" s="18"/>
      <c r="E493" s="18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ht="12.75" customHeight="1">
      <c r="A494" s="18"/>
      <c r="B494" s="18"/>
      <c r="C494" s="18"/>
      <c r="D494" s="18"/>
      <c r="E494" s="18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ht="12.75" customHeight="1">
      <c r="A495" s="18"/>
      <c r="B495" s="18"/>
      <c r="C495" s="18"/>
      <c r="D495" s="18"/>
      <c r="E495" s="18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ht="12.75" customHeight="1">
      <c r="A496" s="18"/>
      <c r="B496" s="18"/>
      <c r="C496" s="18"/>
      <c r="D496" s="18"/>
      <c r="E496" s="18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ht="12.75" customHeight="1">
      <c r="A497" s="18"/>
      <c r="B497" s="18"/>
      <c r="C497" s="18"/>
      <c r="D497" s="18"/>
      <c r="E497" s="18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ht="12.75" customHeight="1">
      <c r="A498" s="18"/>
      <c r="B498" s="18"/>
      <c r="C498" s="18"/>
      <c r="D498" s="18"/>
      <c r="E498" s="18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ht="12.75" customHeight="1">
      <c r="A499" s="18"/>
      <c r="B499" s="18"/>
      <c r="C499" s="18"/>
      <c r="D499" s="18"/>
      <c r="E499" s="18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ht="12.75" customHeight="1">
      <c r="A500" s="18"/>
      <c r="B500" s="18"/>
      <c r="C500" s="18"/>
      <c r="D500" s="18"/>
      <c r="E500" s="18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ht="12.75" customHeight="1">
      <c r="A501" s="18"/>
      <c r="B501" s="18"/>
      <c r="C501" s="18"/>
      <c r="D501" s="18"/>
      <c r="E501" s="18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ht="12.75" customHeight="1">
      <c r="A502" s="18"/>
      <c r="B502" s="18"/>
      <c r="C502" s="18"/>
      <c r="D502" s="18"/>
      <c r="E502" s="18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ht="12.75" customHeight="1">
      <c r="A503" s="18"/>
      <c r="B503" s="18"/>
      <c r="C503" s="18"/>
      <c r="D503" s="18"/>
      <c r="E503" s="18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ht="12.75" customHeight="1">
      <c r="A504" s="18"/>
      <c r="B504" s="18"/>
      <c r="C504" s="18"/>
      <c r="D504" s="18"/>
      <c r="E504" s="18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ht="12.75" customHeight="1">
      <c r="A505" s="18"/>
      <c r="B505" s="18"/>
      <c r="C505" s="18"/>
      <c r="D505" s="18"/>
      <c r="E505" s="18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ht="12.75" customHeight="1">
      <c r="A506" s="18"/>
      <c r="B506" s="18"/>
      <c r="C506" s="18"/>
      <c r="D506" s="18"/>
      <c r="E506" s="18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ht="12.75" customHeight="1">
      <c r="A507" s="18"/>
      <c r="B507" s="18"/>
      <c r="C507" s="18"/>
      <c r="D507" s="18"/>
      <c r="E507" s="18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ht="12.75" customHeight="1">
      <c r="A508" s="18"/>
      <c r="B508" s="18"/>
      <c r="C508" s="18"/>
      <c r="D508" s="18"/>
      <c r="E508" s="18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ht="12.75" customHeight="1">
      <c r="A509" s="18"/>
      <c r="B509" s="18"/>
      <c r="C509" s="18"/>
      <c r="D509" s="18"/>
      <c r="E509" s="18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ht="12.75" customHeight="1">
      <c r="A510" s="18"/>
      <c r="B510" s="18"/>
      <c r="C510" s="18"/>
      <c r="D510" s="18"/>
      <c r="E510" s="18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ht="12.75" customHeight="1">
      <c r="A511" s="18"/>
      <c r="B511" s="18"/>
      <c r="C511" s="18"/>
      <c r="D511" s="18"/>
      <c r="E511" s="18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ht="12.75" customHeight="1">
      <c r="A512" s="18"/>
      <c r="B512" s="18"/>
      <c r="C512" s="18"/>
      <c r="D512" s="18"/>
      <c r="E512" s="18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ht="12.75" customHeight="1">
      <c r="A513" s="18"/>
      <c r="B513" s="18"/>
      <c r="C513" s="18"/>
      <c r="D513" s="18"/>
      <c r="E513" s="18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ht="12.75" customHeight="1">
      <c r="A514" s="18"/>
      <c r="B514" s="18"/>
      <c r="C514" s="18"/>
      <c r="D514" s="18"/>
      <c r="E514" s="18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ht="12.75" customHeight="1">
      <c r="A515" s="18"/>
      <c r="B515" s="18"/>
      <c r="C515" s="18"/>
      <c r="D515" s="18"/>
      <c r="E515" s="18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ht="12.75" customHeight="1">
      <c r="A516" s="18"/>
      <c r="B516" s="18"/>
      <c r="C516" s="18"/>
      <c r="D516" s="18"/>
      <c r="E516" s="18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ht="12.75" customHeight="1">
      <c r="A517" s="18"/>
      <c r="B517" s="18"/>
      <c r="C517" s="18"/>
      <c r="D517" s="18"/>
      <c r="E517" s="18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ht="12.75" customHeight="1">
      <c r="A518" s="18"/>
      <c r="B518" s="18"/>
      <c r="C518" s="18"/>
      <c r="D518" s="18"/>
      <c r="E518" s="18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ht="12.75" customHeight="1">
      <c r="A519" s="18"/>
      <c r="B519" s="18"/>
      <c r="C519" s="18"/>
      <c r="D519" s="18"/>
      <c r="E519" s="18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ht="12.75" customHeight="1">
      <c r="A520" s="18"/>
      <c r="B520" s="18"/>
      <c r="C520" s="18"/>
      <c r="D520" s="18"/>
      <c r="E520" s="18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ht="12.75" customHeight="1">
      <c r="A521" s="18"/>
      <c r="B521" s="18"/>
      <c r="C521" s="18"/>
      <c r="D521" s="18"/>
      <c r="E521" s="18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ht="12.75" customHeight="1">
      <c r="A522" s="18"/>
      <c r="B522" s="18"/>
      <c r="C522" s="18"/>
      <c r="D522" s="18"/>
      <c r="E522" s="18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ht="12.75" customHeight="1">
      <c r="A523" s="18"/>
      <c r="B523" s="18"/>
      <c r="C523" s="18"/>
      <c r="D523" s="18"/>
      <c r="E523" s="18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ht="12.75" customHeight="1">
      <c r="A524" s="18"/>
      <c r="B524" s="18"/>
      <c r="C524" s="18"/>
      <c r="D524" s="18"/>
      <c r="E524" s="18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ht="12.75" customHeight="1">
      <c r="A525" s="18"/>
      <c r="B525" s="18"/>
      <c r="C525" s="18"/>
      <c r="D525" s="18"/>
      <c r="E525" s="18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ht="12.75" customHeight="1">
      <c r="A526" s="18"/>
      <c r="B526" s="18"/>
      <c r="C526" s="18"/>
      <c r="D526" s="18"/>
      <c r="E526" s="18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ht="12.75" customHeight="1">
      <c r="A527" s="18"/>
      <c r="B527" s="18"/>
      <c r="C527" s="18"/>
      <c r="D527" s="18"/>
      <c r="E527" s="18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ht="12.75" customHeight="1">
      <c r="A528" s="18"/>
      <c r="B528" s="18"/>
      <c r="C528" s="18"/>
      <c r="D528" s="18"/>
      <c r="E528" s="18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ht="12.75" customHeight="1">
      <c r="A529" s="18"/>
      <c r="B529" s="18"/>
      <c r="C529" s="18"/>
      <c r="D529" s="18"/>
      <c r="E529" s="18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ht="12.75" customHeight="1">
      <c r="A530" s="18"/>
      <c r="B530" s="18"/>
      <c r="C530" s="18"/>
      <c r="D530" s="18"/>
      <c r="E530" s="18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ht="12.75" customHeight="1">
      <c r="A531" s="18"/>
      <c r="B531" s="18"/>
      <c r="C531" s="18"/>
      <c r="D531" s="18"/>
      <c r="E531" s="18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ht="12.75" customHeight="1">
      <c r="A532" s="18"/>
      <c r="B532" s="18"/>
      <c r="C532" s="18"/>
      <c r="D532" s="18"/>
      <c r="E532" s="18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ht="12.75" customHeight="1">
      <c r="A533" s="18"/>
      <c r="B533" s="18"/>
      <c r="C533" s="18"/>
      <c r="D533" s="18"/>
      <c r="E533" s="18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ht="12.75" customHeight="1">
      <c r="A534" s="18"/>
      <c r="B534" s="18"/>
      <c r="C534" s="18"/>
      <c r="D534" s="18"/>
      <c r="E534" s="18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ht="12.75" customHeight="1">
      <c r="A535" s="18"/>
      <c r="B535" s="18"/>
      <c r="C535" s="18"/>
      <c r="D535" s="18"/>
      <c r="E535" s="18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ht="12.75" customHeight="1">
      <c r="A536" s="18"/>
      <c r="B536" s="18"/>
      <c r="C536" s="18"/>
      <c r="D536" s="18"/>
      <c r="E536" s="18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ht="12.75" customHeight="1">
      <c r="A537" s="18"/>
      <c r="B537" s="18"/>
      <c r="C537" s="18"/>
      <c r="D537" s="18"/>
      <c r="E537" s="18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ht="12.75" customHeight="1">
      <c r="A538" s="18"/>
      <c r="B538" s="18"/>
      <c r="C538" s="18"/>
      <c r="D538" s="18"/>
      <c r="E538" s="18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ht="12.75" customHeight="1">
      <c r="A539" s="18"/>
      <c r="B539" s="18"/>
      <c r="C539" s="18"/>
      <c r="D539" s="18"/>
      <c r="E539" s="18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ht="12.75" customHeight="1">
      <c r="A540" s="18"/>
      <c r="B540" s="18"/>
      <c r="C540" s="18"/>
      <c r="D540" s="18"/>
      <c r="E540" s="18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ht="12.75" customHeight="1">
      <c r="A541" s="18"/>
      <c r="B541" s="18"/>
      <c r="C541" s="18"/>
      <c r="D541" s="18"/>
      <c r="E541" s="18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ht="12.75" customHeight="1">
      <c r="A542" s="18"/>
      <c r="B542" s="18"/>
      <c r="C542" s="18"/>
      <c r="D542" s="18"/>
      <c r="E542" s="18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ht="12.75" customHeight="1">
      <c r="A543" s="18"/>
      <c r="B543" s="18"/>
      <c r="C543" s="18"/>
      <c r="D543" s="18"/>
      <c r="E543" s="18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ht="12.75" customHeight="1">
      <c r="A544" s="18"/>
      <c r="B544" s="18"/>
      <c r="C544" s="18"/>
      <c r="D544" s="18"/>
      <c r="E544" s="18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ht="12.75" customHeight="1">
      <c r="A545" s="18"/>
      <c r="B545" s="18"/>
      <c r="C545" s="18"/>
      <c r="D545" s="18"/>
      <c r="E545" s="18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ht="12.75" customHeight="1">
      <c r="A546" s="18"/>
      <c r="B546" s="18"/>
      <c r="C546" s="18"/>
      <c r="D546" s="18"/>
      <c r="E546" s="18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ht="12.75" customHeight="1">
      <c r="A547" s="18"/>
      <c r="B547" s="18"/>
      <c r="C547" s="18"/>
      <c r="D547" s="18"/>
      <c r="E547" s="18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ht="12.75" customHeight="1">
      <c r="A548" s="18"/>
      <c r="B548" s="18"/>
      <c r="C548" s="18"/>
      <c r="D548" s="18"/>
      <c r="E548" s="18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ht="12.75" customHeight="1">
      <c r="A549" s="18"/>
      <c r="B549" s="18"/>
      <c r="C549" s="18"/>
      <c r="D549" s="18"/>
      <c r="E549" s="18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ht="12.75" customHeight="1">
      <c r="A550" s="18"/>
      <c r="B550" s="18"/>
      <c r="C550" s="18"/>
      <c r="D550" s="18"/>
      <c r="E550" s="18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ht="12.75" customHeight="1">
      <c r="A551" s="18"/>
      <c r="B551" s="18"/>
      <c r="C551" s="18"/>
      <c r="D551" s="18"/>
      <c r="E551" s="18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ht="12.75" customHeight="1">
      <c r="A552" s="18"/>
      <c r="B552" s="18"/>
      <c r="C552" s="18"/>
      <c r="D552" s="18"/>
      <c r="E552" s="18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ht="12.75" customHeight="1">
      <c r="A553" s="18"/>
      <c r="B553" s="18"/>
      <c r="C553" s="18"/>
      <c r="D553" s="18"/>
      <c r="E553" s="18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ht="12.75" customHeight="1">
      <c r="A554" s="18"/>
      <c r="B554" s="18"/>
      <c r="C554" s="18"/>
      <c r="D554" s="18"/>
      <c r="E554" s="18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ht="12.75" customHeight="1">
      <c r="A555" s="18"/>
      <c r="B555" s="18"/>
      <c r="C555" s="18"/>
      <c r="D555" s="18"/>
      <c r="E555" s="18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ht="12.75" customHeight="1">
      <c r="A556" s="18"/>
      <c r="B556" s="18"/>
      <c r="C556" s="18"/>
      <c r="D556" s="18"/>
      <c r="E556" s="18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ht="12.75" customHeight="1">
      <c r="A557" s="18"/>
      <c r="B557" s="18"/>
      <c r="C557" s="18"/>
      <c r="D557" s="18"/>
      <c r="E557" s="18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ht="12.75" customHeight="1">
      <c r="A558" s="18"/>
      <c r="B558" s="18"/>
      <c r="C558" s="18"/>
      <c r="D558" s="18"/>
      <c r="E558" s="18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ht="12.75" customHeight="1">
      <c r="A559" s="18"/>
      <c r="B559" s="18"/>
      <c r="C559" s="18"/>
      <c r="D559" s="18"/>
      <c r="E559" s="18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ht="12.75" customHeight="1">
      <c r="A560" s="18"/>
      <c r="B560" s="18"/>
      <c r="C560" s="18"/>
      <c r="D560" s="18"/>
      <c r="E560" s="18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ht="12.75" customHeight="1">
      <c r="A561" s="18"/>
      <c r="B561" s="18"/>
      <c r="C561" s="18"/>
      <c r="D561" s="18"/>
      <c r="E561" s="18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ht="12.75" customHeight="1">
      <c r="A562" s="18"/>
      <c r="B562" s="18"/>
      <c r="C562" s="18"/>
      <c r="D562" s="18"/>
      <c r="E562" s="18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ht="12.75" customHeight="1">
      <c r="A563" s="18"/>
      <c r="B563" s="18"/>
      <c r="C563" s="18"/>
      <c r="D563" s="18"/>
      <c r="E563" s="18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ht="12.75" customHeight="1">
      <c r="A564" s="18"/>
      <c r="B564" s="18"/>
      <c r="C564" s="18"/>
      <c r="D564" s="18"/>
      <c r="E564" s="18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ht="12.75" customHeight="1">
      <c r="A565" s="18"/>
      <c r="B565" s="18"/>
      <c r="C565" s="18"/>
      <c r="D565" s="18"/>
      <c r="E565" s="18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ht="12.75" customHeight="1">
      <c r="A566" s="18"/>
      <c r="B566" s="18"/>
      <c r="C566" s="18"/>
      <c r="D566" s="18"/>
      <c r="E566" s="18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ht="12.75" customHeight="1">
      <c r="A567" s="18"/>
      <c r="B567" s="18"/>
      <c r="C567" s="18"/>
      <c r="D567" s="18"/>
      <c r="E567" s="18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ht="12.75" customHeight="1">
      <c r="A568" s="18"/>
      <c r="B568" s="18"/>
      <c r="C568" s="18"/>
      <c r="D568" s="18"/>
      <c r="E568" s="18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ht="12.75" customHeight="1">
      <c r="A569" s="18"/>
      <c r="B569" s="18"/>
      <c r="C569" s="18"/>
      <c r="D569" s="18"/>
      <c r="E569" s="18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ht="12.75" customHeight="1">
      <c r="A570" s="18"/>
      <c r="B570" s="18"/>
      <c r="C570" s="18"/>
      <c r="D570" s="18"/>
      <c r="E570" s="18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ht="12.75" customHeight="1">
      <c r="A571" s="18"/>
      <c r="B571" s="18"/>
      <c r="C571" s="18"/>
      <c r="D571" s="18"/>
      <c r="E571" s="18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ht="12.75" customHeight="1">
      <c r="A572" s="18"/>
      <c r="B572" s="18"/>
      <c r="C572" s="18"/>
      <c r="D572" s="18"/>
      <c r="E572" s="18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ht="12.75" customHeight="1">
      <c r="A573" s="18"/>
      <c r="B573" s="18"/>
      <c r="C573" s="18"/>
      <c r="D573" s="18"/>
      <c r="E573" s="18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ht="12.75" customHeight="1">
      <c r="A574" s="18"/>
      <c r="B574" s="18"/>
      <c r="C574" s="18"/>
      <c r="D574" s="18"/>
      <c r="E574" s="18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ht="12.75" customHeight="1">
      <c r="A575" s="18"/>
      <c r="B575" s="18"/>
      <c r="C575" s="18"/>
      <c r="D575" s="18"/>
      <c r="E575" s="18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ht="12.75" customHeight="1">
      <c r="A576" s="18"/>
      <c r="B576" s="18"/>
      <c r="C576" s="18"/>
      <c r="D576" s="18"/>
      <c r="E576" s="18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ht="12.75" customHeight="1">
      <c r="A577" s="18"/>
      <c r="B577" s="18"/>
      <c r="C577" s="18"/>
      <c r="D577" s="18"/>
      <c r="E577" s="18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ht="12.75" customHeight="1">
      <c r="A578" s="18"/>
      <c r="B578" s="18"/>
      <c r="C578" s="18"/>
      <c r="D578" s="18"/>
      <c r="E578" s="18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ht="12.75" customHeight="1">
      <c r="A579" s="18"/>
      <c r="B579" s="18"/>
      <c r="C579" s="18"/>
      <c r="D579" s="18"/>
      <c r="E579" s="18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ht="12.75" customHeight="1">
      <c r="A580" s="18"/>
      <c r="B580" s="18"/>
      <c r="C580" s="18"/>
      <c r="D580" s="18"/>
      <c r="E580" s="18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ht="12.75" customHeight="1">
      <c r="A581" s="18"/>
      <c r="B581" s="18"/>
      <c r="C581" s="18"/>
      <c r="D581" s="18"/>
      <c r="E581" s="18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ht="12.75" customHeight="1">
      <c r="A582" s="18"/>
      <c r="B582" s="18"/>
      <c r="C582" s="18"/>
      <c r="D582" s="18"/>
      <c r="E582" s="18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ht="12.75" customHeight="1">
      <c r="A583" s="18"/>
      <c r="B583" s="18"/>
      <c r="C583" s="18"/>
      <c r="D583" s="18"/>
      <c r="E583" s="18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ht="12.75" customHeight="1">
      <c r="A584" s="18"/>
      <c r="B584" s="18"/>
      <c r="C584" s="18"/>
      <c r="D584" s="18"/>
      <c r="E584" s="18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ht="12.75" customHeight="1">
      <c r="A585" s="18"/>
      <c r="B585" s="18"/>
      <c r="C585" s="18"/>
      <c r="D585" s="18"/>
      <c r="E585" s="18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ht="12.75" customHeight="1">
      <c r="A586" s="18"/>
      <c r="B586" s="18"/>
      <c r="C586" s="18"/>
      <c r="D586" s="18"/>
      <c r="E586" s="18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ht="12.75" customHeight="1">
      <c r="A587" s="18"/>
      <c r="B587" s="18"/>
      <c r="C587" s="18"/>
      <c r="D587" s="18"/>
      <c r="E587" s="18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ht="12.75" customHeight="1">
      <c r="A588" s="18"/>
      <c r="B588" s="18"/>
      <c r="C588" s="18"/>
      <c r="D588" s="18"/>
      <c r="E588" s="18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ht="12.75" customHeight="1">
      <c r="A589" s="18"/>
      <c r="B589" s="18"/>
      <c r="C589" s="18"/>
      <c r="D589" s="18"/>
      <c r="E589" s="18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ht="12.75" customHeight="1">
      <c r="A590" s="18"/>
      <c r="B590" s="18"/>
      <c r="C590" s="18"/>
      <c r="D590" s="18"/>
      <c r="E590" s="18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ht="12.75" customHeight="1">
      <c r="A591" s="18"/>
      <c r="B591" s="18"/>
      <c r="C591" s="18"/>
      <c r="D591" s="18"/>
      <c r="E591" s="18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ht="12.75" customHeight="1">
      <c r="A592" s="18"/>
      <c r="B592" s="18"/>
      <c r="C592" s="18"/>
      <c r="D592" s="18"/>
      <c r="E592" s="18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ht="12.75" customHeight="1">
      <c r="A593" s="18"/>
      <c r="B593" s="18"/>
      <c r="C593" s="18"/>
      <c r="D593" s="18"/>
      <c r="E593" s="18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ht="12.75" customHeight="1">
      <c r="A594" s="18"/>
      <c r="B594" s="18"/>
      <c r="C594" s="18"/>
      <c r="D594" s="18"/>
      <c r="E594" s="18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ht="12.75" customHeight="1">
      <c r="A595" s="18"/>
      <c r="B595" s="18"/>
      <c r="C595" s="18"/>
      <c r="D595" s="18"/>
      <c r="E595" s="18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ht="12.75" customHeight="1">
      <c r="A596" s="18"/>
      <c r="B596" s="18"/>
      <c r="C596" s="18"/>
      <c r="D596" s="18"/>
      <c r="E596" s="18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ht="12.75" customHeight="1">
      <c r="A597" s="18"/>
      <c r="B597" s="18"/>
      <c r="C597" s="18"/>
      <c r="D597" s="18"/>
      <c r="E597" s="18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ht="12.75" customHeight="1">
      <c r="A598" s="18"/>
      <c r="B598" s="18"/>
      <c r="C598" s="18"/>
      <c r="D598" s="18"/>
      <c r="E598" s="18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ht="12.75" customHeight="1">
      <c r="A599" s="18"/>
      <c r="B599" s="18"/>
      <c r="C599" s="18"/>
      <c r="D599" s="18"/>
      <c r="E599" s="18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ht="12.75" customHeight="1">
      <c r="A600" s="18"/>
      <c r="B600" s="18"/>
      <c r="C600" s="18"/>
      <c r="D600" s="18"/>
      <c r="E600" s="18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ht="12.75" customHeight="1">
      <c r="A601" s="18"/>
      <c r="B601" s="18"/>
      <c r="C601" s="18"/>
      <c r="D601" s="18"/>
      <c r="E601" s="18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ht="12.75" customHeight="1">
      <c r="A602" s="18"/>
      <c r="B602" s="18"/>
      <c r="C602" s="18"/>
      <c r="D602" s="18"/>
      <c r="E602" s="18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ht="12.75" customHeight="1">
      <c r="A603" s="18"/>
      <c r="B603" s="18"/>
      <c r="C603" s="18"/>
      <c r="D603" s="18"/>
      <c r="E603" s="18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ht="12.75" customHeight="1">
      <c r="A604" s="18"/>
      <c r="B604" s="18"/>
      <c r="C604" s="18"/>
      <c r="D604" s="18"/>
      <c r="E604" s="18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ht="12.75" customHeight="1">
      <c r="A605" s="18"/>
      <c r="B605" s="18"/>
      <c r="C605" s="18"/>
      <c r="D605" s="18"/>
      <c r="E605" s="18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ht="12.75" customHeight="1">
      <c r="A606" s="18"/>
      <c r="B606" s="18"/>
      <c r="C606" s="18"/>
      <c r="D606" s="18"/>
      <c r="E606" s="18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ht="12.75" customHeight="1">
      <c r="A607" s="18"/>
      <c r="B607" s="18"/>
      <c r="C607" s="18"/>
      <c r="D607" s="18"/>
      <c r="E607" s="18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ht="12.75" customHeight="1">
      <c r="A608" s="18"/>
      <c r="B608" s="18"/>
      <c r="C608" s="18"/>
      <c r="D608" s="18"/>
      <c r="E608" s="18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ht="12.75" customHeight="1">
      <c r="A609" s="18"/>
      <c r="B609" s="18"/>
      <c r="C609" s="18"/>
      <c r="D609" s="18"/>
      <c r="E609" s="18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ht="12.75" customHeight="1">
      <c r="A610" s="18"/>
      <c r="B610" s="18"/>
      <c r="C610" s="18"/>
      <c r="D610" s="18"/>
      <c r="E610" s="18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ht="12.75" customHeight="1">
      <c r="A611" s="18"/>
      <c r="B611" s="18"/>
      <c r="C611" s="18"/>
      <c r="D611" s="18"/>
      <c r="E611" s="18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ht="12.75" customHeight="1">
      <c r="A612" s="18"/>
      <c r="B612" s="18"/>
      <c r="C612" s="18"/>
      <c r="D612" s="18"/>
      <c r="E612" s="18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ht="12.75" customHeight="1">
      <c r="A613" s="18"/>
      <c r="B613" s="18"/>
      <c r="C613" s="18"/>
      <c r="D613" s="18"/>
      <c r="E613" s="18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ht="12.75" customHeight="1">
      <c r="A614" s="18"/>
      <c r="B614" s="18"/>
      <c r="C614" s="18"/>
      <c r="D614" s="18"/>
      <c r="E614" s="18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ht="12.75" customHeight="1">
      <c r="A615" s="18"/>
      <c r="B615" s="18"/>
      <c r="C615" s="18"/>
      <c r="D615" s="18"/>
      <c r="E615" s="18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ht="12.75" customHeight="1">
      <c r="A616" s="18"/>
      <c r="B616" s="18"/>
      <c r="C616" s="18"/>
      <c r="D616" s="18"/>
      <c r="E616" s="18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ht="12.75" customHeight="1">
      <c r="A617" s="18"/>
      <c r="B617" s="18"/>
      <c r="C617" s="18"/>
      <c r="D617" s="18"/>
      <c r="E617" s="18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ht="12.75" customHeight="1">
      <c r="A618" s="18"/>
      <c r="B618" s="18"/>
      <c r="C618" s="18"/>
      <c r="D618" s="18"/>
      <c r="E618" s="18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ht="12.75" customHeight="1">
      <c r="A619" s="18"/>
      <c r="B619" s="18"/>
      <c r="C619" s="18"/>
      <c r="D619" s="18"/>
      <c r="E619" s="18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ht="12.75" customHeight="1">
      <c r="A620" s="18"/>
      <c r="B620" s="18"/>
      <c r="C620" s="18"/>
      <c r="D620" s="18"/>
      <c r="E620" s="18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ht="12.75" customHeight="1">
      <c r="A621" s="18"/>
      <c r="B621" s="18"/>
      <c r="C621" s="18"/>
      <c r="D621" s="18"/>
      <c r="E621" s="18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ht="12.75" customHeight="1">
      <c r="A622" s="18"/>
      <c r="B622" s="18"/>
      <c r="C622" s="18"/>
      <c r="D622" s="18"/>
      <c r="E622" s="18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ht="12.75" customHeight="1">
      <c r="A623" s="18"/>
      <c r="B623" s="18"/>
      <c r="C623" s="18"/>
      <c r="D623" s="18"/>
      <c r="E623" s="18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ht="12.75" customHeight="1">
      <c r="A624" s="18"/>
      <c r="B624" s="18"/>
      <c r="C624" s="18"/>
      <c r="D624" s="18"/>
      <c r="E624" s="18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ht="12.75" customHeight="1">
      <c r="A625" s="18"/>
      <c r="B625" s="18"/>
      <c r="C625" s="18"/>
      <c r="D625" s="18"/>
      <c r="E625" s="18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ht="12.75" customHeight="1">
      <c r="A626" s="18"/>
      <c r="B626" s="18"/>
      <c r="C626" s="18"/>
      <c r="D626" s="18"/>
      <c r="E626" s="18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ht="12.75" customHeight="1">
      <c r="A627" s="18"/>
      <c r="B627" s="18"/>
      <c r="C627" s="18"/>
      <c r="D627" s="18"/>
      <c r="E627" s="18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ht="12.75" customHeight="1">
      <c r="A628" s="18"/>
      <c r="B628" s="18"/>
      <c r="C628" s="18"/>
      <c r="D628" s="18"/>
      <c r="E628" s="18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ht="12.75" customHeight="1">
      <c r="A629" s="18"/>
      <c r="B629" s="18"/>
      <c r="C629" s="18"/>
      <c r="D629" s="18"/>
      <c r="E629" s="18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ht="12.75" customHeight="1">
      <c r="A630" s="18"/>
      <c r="B630" s="18"/>
      <c r="C630" s="18"/>
      <c r="D630" s="18"/>
      <c r="E630" s="18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ht="12.75" customHeight="1">
      <c r="A631" s="18"/>
      <c r="B631" s="18"/>
      <c r="C631" s="18"/>
      <c r="D631" s="18"/>
      <c r="E631" s="18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ht="12.75" customHeight="1">
      <c r="A632" s="18"/>
      <c r="B632" s="18"/>
      <c r="C632" s="18"/>
      <c r="D632" s="18"/>
      <c r="E632" s="18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ht="12.75" customHeight="1">
      <c r="A633" s="18"/>
      <c r="B633" s="18"/>
      <c r="C633" s="18"/>
      <c r="D633" s="18"/>
      <c r="E633" s="18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ht="12.75" customHeight="1">
      <c r="A634" s="18"/>
      <c r="B634" s="18"/>
      <c r="C634" s="18"/>
      <c r="D634" s="18"/>
      <c r="E634" s="18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ht="12.75" customHeight="1">
      <c r="A635" s="18"/>
      <c r="B635" s="18"/>
      <c r="C635" s="18"/>
      <c r="D635" s="18"/>
      <c r="E635" s="18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ht="12.75" customHeight="1">
      <c r="A636" s="18"/>
      <c r="B636" s="18"/>
      <c r="C636" s="18"/>
      <c r="D636" s="18"/>
      <c r="E636" s="18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ht="12.75" customHeight="1">
      <c r="A637" s="18"/>
      <c r="B637" s="18"/>
      <c r="C637" s="18"/>
      <c r="D637" s="18"/>
      <c r="E637" s="18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ht="12.75" customHeight="1">
      <c r="A638" s="18"/>
      <c r="B638" s="18"/>
      <c r="C638" s="18"/>
      <c r="D638" s="18"/>
      <c r="E638" s="18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ht="12.75" customHeight="1">
      <c r="A639" s="18"/>
      <c r="B639" s="18"/>
      <c r="C639" s="18"/>
      <c r="D639" s="18"/>
      <c r="E639" s="18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ht="12.75" customHeight="1">
      <c r="A640" s="18"/>
      <c r="B640" s="18"/>
      <c r="C640" s="18"/>
      <c r="D640" s="18"/>
      <c r="E640" s="18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ht="12.75" customHeight="1">
      <c r="A641" s="18"/>
      <c r="B641" s="18"/>
      <c r="C641" s="18"/>
      <c r="D641" s="18"/>
      <c r="E641" s="18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ht="12.75" customHeight="1">
      <c r="A642" s="18"/>
      <c r="B642" s="18"/>
      <c r="C642" s="18"/>
      <c r="D642" s="18"/>
      <c r="E642" s="18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ht="12.75" customHeight="1">
      <c r="A643" s="18"/>
      <c r="B643" s="18"/>
      <c r="C643" s="18"/>
      <c r="D643" s="18"/>
      <c r="E643" s="18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ht="12.75" customHeight="1">
      <c r="A644" s="18"/>
      <c r="B644" s="18"/>
      <c r="C644" s="18"/>
      <c r="D644" s="18"/>
      <c r="E644" s="18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ht="12.75" customHeight="1">
      <c r="A645" s="18"/>
      <c r="B645" s="18"/>
      <c r="C645" s="18"/>
      <c r="D645" s="18"/>
      <c r="E645" s="18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ht="12.75" customHeight="1">
      <c r="A646" s="18"/>
      <c r="B646" s="18"/>
      <c r="C646" s="18"/>
      <c r="D646" s="18"/>
      <c r="E646" s="18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ht="12.75" customHeight="1">
      <c r="A647" s="18"/>
      <c r="B647" s="18"/>
      <c r="C647" s="18"/>
      <c r="D647" s="18"/>
      <c r="E647" s="18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ht="12.75" customHeight="1">
      <c r="A648" s="18"/>
      <c r="B648" s="18"/>
      <c r="C648" s="18"/>
      <c r="D648" s="18"/>
      <c r="E648" s="18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ht="12.75" customHeight="1">
      <c r="A649" s="18"/>
      <c r="B649" s="18"/>
      <c r="C649" s="18"/>
      <c r="D649" s="18"/>
      <c r="E649" s="18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ht="12.75" customHeight="1">
      <c r="A650" s="18"/>
      <c r="B650" s="18"/>
      <c r="C650" s="18"/>
      <c r="D650" s="18"/>
      <c r="E650" s="18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ht="12.75" customHeight="1">
      <c r="A651" s="18"/>
      <c r="B651" s="18"/>
      <c r="C651" s="18"/>
      <c r="D651" s="18"/>
      <c r="E651" s="18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ht="12.75" customHeight="1">
      <c r="A652" s="18"/>
      <c r="B652" s="18"/>
      <c r="C652" s="18"/>
      <c r="D652" s="18"/>
      <c r="E652" s="18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ht="12.75" customHeight="1">
      <c r="A653" s="18"/>
      <c r="B653" s="18"/>
      <c r="C653" s="18"/>
      <c r="D653" s="18"/>
      <c r="E653" s="18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ht="12.75" customHeight="1">
      <c r="A654" s="18"/>
      <c r="B654" s="18"/>
      <c r="C654" s="18"/>
      <c r="D654" s="18"/>
      <c r="E654" s="18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ht="12.75" customHeight="1">
      <c r="A655" s="18"/>
      <c r="B655" s="18"/>
      <c r="C655" s="18"/>
      <c r="D655" s="18"/>
      <c r="E655" s="18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ht="12.75" customHeight="1">
      <c r="A656" s="18"/>
      <c r="B656" s="18"/>
      <c r="C656" s="18"/>
      <c r="D656" s="18"/>
      <c r="E656" s="18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ht="12.75" customHeight="1">
      <c r="A657" s="18"/>
      <c r="B657" s="18"/>
      <c r="C657" s="18"/>
      <c r="D657" s="18"/>
      <c r="E657" s="18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ht="12.75" customHeight="1">
      <c r="A658" s="18"/>
      <c r="B658" s="18"/>
      <c r="C658" s="18"/>
      <c r="D658" s="18"/>
      <c r="E658" s="18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ht="12.75" customHeight="1">
      <c r="A659" s="18"/>
      <c r="B659" s="18"/>
      <c r="C659" s="18"/>
      <c r="D659" s="18"/>
      <c r="E659" s="18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ht="12.75" customHeight="1">
      <c r="A660" s="18"/>
      <c r="B660" s="18"/>
      <c r="C660" s="18"/>
      <c r="D660" s="18"/>
      <c r="E660" s="18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ht="12.75" customHeight="1">
      <c r="A661" s="18"/>
      <c r="B661" s="18"/>
      <c r="C661" s="18"/>
      <c r="D661" s="18"/>
      <c r="E661" s="18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ht="12.75" customHeight="1">
      <c r="A662" s="18"/>
      <c r="B662" s="18"/>
      <c r="C662" s="18"/>
      <c r="D662" s="18"/>
      <c r="E662" s="18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ht="12.75" customHeight="1">
      <c r="A663" s="18"/>
      <c r="B663" s="18"/>
      <c r="C663" s="18"/>
      <c r="D663" s="18"/>
      <c r="E663" s="18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ht="12.75" customHeight="1">
      <c r="A664" s="18"/>
      <c r="B664" s="18"/>
      <c r="C664" s="18"/>
      <c r="D664" s="18"/>
      <c r="E664" s="18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ht="12.75" customHeight="1">
      <c r="A665" s="18"/>
      <c r="B665" s="18"/>
      <c r="C665" s="18"/>
      <c r="D665" s="18"/>
      <c r="E665" s="18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ht="12.75" customHeight="1">
      <c r="A666" s="18"/>
      <c r="B666" s="18"/>
      <c r="C666" s="18"/>
      <c r="D666" s="18"/>
      <c r="E666" s="18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ht="12.75" customHeight="1">
      <c r="A667" s="18"/>
      <c r="B667" s="18"/>
      <c r="C667" s="18"/>
      <c r="D667" s="18"/>
      <c r="E667" s="18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ht="12.75" customHeight="1">
      <c r="A668" s="18"/>
      <c r="B668" s="18"/>
      <c r="C668" s="18"/>
      <c r="D668" s="18"/>
      <c r="E668" s="18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ht="12.75" customHeight="1">
      <c r="A669" s="18"/>
      <c r="B669" s="18"/>
      <c r="C669" s="18"/>
      <c r="D669" s="18"/>
      <c r="E669" s="18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ht="12.75" customHeight="1">
      <c r="A670" s="18"/>
      <c r="B670" s="18"/>
      <c r="C670" s="18"/>
      <c r="D670" s="18"/>
      <c r="E670" s="18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ht="12.75" customHeight="1">
      <c r="A671" s="18"/>
      <c r="B671" s="18"/>
      <c r="C671" s="18"/>
      <c r="D671" s="18"/>
      <c r="E671" s="18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ht="12.75" customHeight="1">
      <c r="A672" s="18"/>
      <c r="B672" s="18"/>
      <c r="C672" s="18"/>
      <c r="D672" s="18"/>
      <c r="E672" s="18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ht="12.75" customHeight="1">
      <c r="A673" s="18"/>
      <c r="B673" s="18"/>
      <c r="C673" s="18"/>
      <c r="D673" s="18"/>
      <c r="E673" s="18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ht="12.75" customHeight="1">
      <c r="A674" s="18"/>
      <c r="B674" s="18"/>
      <c r="C674" s="18"/>
      <c r="D674" s="18"/>
      <c r="E674" s="18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ht="12.75" customHeight="1">
      <c r="A675" s="18"/>
      <c r="B675" s="18"/>
      <c r="C675" s="18"/>
      <c r="D675" s="18"/>
      <c r="E675" s="18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ht="12.75" customHeight="1">
      <c r="A676" s="18"/>
      <c r="B676" s="18"/>
      <c r="C676" s="18"/>
      <c r="D676" s="18"/>
      <c r="E676" s="18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ht="12.75" customHeight="1">
      <c r="A677" s="18"/>
      <c r="B677" s="18"/>
      <c r="C677" s="18"/>
      <c r="D677" s="18"/>
      <c r="E677" s="18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ht="12.75" customHeight="1">
      <c r="A678" s="18"/>
      <c r="B678" s="18"/>
      <c r="C678" s="18"/>
      <c r="D678" s="18"/>
      <c r="E678" s="18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ht="12.75" customHeight="1">
      <c r="A679" s="18"/>
      <c r="B679" s="18"/>
      <c r="C679" s="18"/>
      <c r="D679" s="18"/>
      <c r="E679" s="18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ht="12.75" customHeight="1">
      <c r="A680" s="18"/>
      <c r="B680" s="18"/>
      <c r="C680" s="18"/>
      <c r="D680" s="18"/>
      <c r="E680" s="18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ht="12.75" customHeight="1">
      <c r="A681" s="18"/>
      <c r="B681" s="18"/>
      <c r="C681" s="18"/>
      <c r="D681" s="18"/>
      <c r="E681" s="18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ht="12.75" customHeight="1">
      <c r="A682" s="18"/>
      <c r="B682" s="18"/>
      <c r="C682" s="18"/>
      <c r="D682" s="18"/>
      <c r="E682" s="18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ht="12.75" customHeight="1">
      <c r="A683" s="18"/>
      <c r="B683" s="18"/>
      <c r="C683" s="18"/>
      <c r="D683" s="18"/>
      <c r="E683" s="18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ht="12.75" customHeight="1">
      <c r="A684" s="18"/>
      <c r="B684" s="18"/>
      <c r="C684" s="18"/>
      <c r="D684" s="18"/>
      <c r="E684" s="18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ht="12.75" customHeight="1">
      <c r="A685" s="18"/>
      <c r="B685" s="18"/>
      <c r="C685" s="18"/>
      <c r="D685" s="18"/>
      <c r="E685" s="18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ht="12.75" customHeight="1">
      <c r="A686" s="18"/>
      <c r="B686" s="18"/>
      <c r="C686" s="18"/>
      <c r="D686" s="18"/>
      <c r="E686" s="18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ht="12.75" customHeight="1">
      <c r="A687" s="18"/>
      <c r="B687" s="18"/>
      <c r="C687" s="18"/>
      <c r="D687" s="18"/>
      <c r="E687" s="18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ht="12.75" customHeight="1">
      <c r="A688" s="18"/>
      <c r="B688" s="18"/>
      <c r="C688" s="18"/>
      <c r="D688" s="18"/>
      <c r="E688" s="18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ht="12.75" customHeight="1">
      <c r="A689" s="18"/>
      <c r="B689" s="18"/>
      <c r="C689" s="18"/>
      <c r="D689" s="18"/>
      <c r="E689" s="18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ht="12.75" customHeight="1">
      <c r="A690" s="18"/>
      <c r="B690" s="18"/>
      <c r="C690" s="18"/>
      <c r="D690" s="18"/>
      <c r="E690" s="18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ht="12.75" customHeight="1">
      <c r="A691" s="18"/>
      <c r="B691" s="18"/>
      <c r="C691" s="18"/>
      <c r="D691" s="18"/>
      <c r="E691" s="18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ht="12.75" customHeight="1">
      <c r="A692" s="18"/>
      <c r="B692" s="18"/>
      <c r="C692" s="18"/>
      <c r="D692" s="18"/>
      <c r="E692" s="18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ht="12.75" customHeight="1">
      <c r="A693" s="18"/>
      <c r="B693" s="18"/>
      <c r="C693" s="18"/>
      <c r="D693" s="18"/>
      <c r="E693" s="18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ht="12.75" customHeight="1">
      <c r="A694" s="18"/>
      <c r="B694" s="18"/>
      <c r="C694" s="18"/>
      <c r="D694" s="18"/>
      <c r="E694" s="18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ht="12.75" customHeight="1">
      <c r="A695" s="18"/>
      <c r="B695" s="18"/>
      <c r="C695" s="18"/>
      <c r="D695" s="18"/>
      <c r="E695" s="18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ht="12.75" customHeight="1">
      <c r="A696" s="18"/>
      <c r="B696" s="18"/>
      <c r="C696" s="18"/>
      <c r="D696" s="18"/>
      <c r="E696" s="18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ht="12.75" customHeight="1">
      <c r="A697" s="18"/>
      <c r="B697" s="18"/>
      <c r="C697" s="18"/>
      <c r="D697" s="18"/>
      <c r="E697" s="18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ht="12.75" customHeight="1">
      <c r="A698" s="18"/>
      <c r="B698" s="18"/>
      <c r="C698" s="18"/>
      <c r="D698" s="18"/>
      <c r="E698" s="18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ht="12.75" customHeight="1">
      <c r="A699" s="18"/>
      <c r="B699" s="18"/>
      <c r="C699" s="18"/>
      <c r="D699" s="18"/>
      <c r="E699" s="18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ht="12.75" customHeight="1">
      <c r="A700" s="18"/>
      <c r="B700" s="18"/>
      <c r="C700" s="18"/>
      <c r="D700" s="18"/>
      <c r="E700" s="18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ht="12.75" customHeight="1">
      <c r="A701" s="18"/>
      <c r="B701" s="18"/>
      <c r="C701" s="18"/>
      <c r="D701" s="18"/>
      <c r="E701" s="18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ht="12.75" customHeight="1">
      <c r="A702" s="18"/>
      <c r="B702" s="18"/>
      <c r="C702" s="18"/>
      <c r="D702" s="18"/>
      <c r="E702" s="18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ht="12.75" customHeight="1">
      <c r="A703" s="18"/>
      <c r="B703" s="18"/>
      <c r="C703" s="18"/>
      <c r="D703" s="18"/>
      <c r="E703" s="18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ht="12.75" customHeight="1">
      <c r="A704" s="18"/>
      <c r="B704" s="18"/>
      <c r="C704" s="18"/>
      <c r="D704" s="18"/>
      <c r="E704" s="18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ht="12.75" customHeight="1">
      <c r="A705" s="18"/>
      <c r="B705" s="18"/>
      <c r="C705" s="18"/>
      <c r="D705" s="18"/>
      <c r="E705" s="18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ht="12.75" customHeight="1">
      <c r="A706" s="18"/>
      <c r="B706" s="18"/>
      <c r="C706" s="18"/>
      <c r="D706" s="18"/>
      <c r="E706" s="18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ht="12.75" customHeight="1">
      <c r="A707" s="18"/>
      <c r="B707" s="18"/>
      <c r="C707" s="18"/>
      <c r="D707" s="18"/>
      <c r="E707" s="18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ht="12.75" customHeight="1">
      <c r="A708" s="18"/>
      <c r="B708" s="18"/>
      <c r="C708" s="18"/>
      <c r="D708" s="18"/>
      <c r="E708" s="18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ht="12.75" customHeight="1">
      <c r="A709" s="18"/>
      <c r="B709" s="18"/>
      <c r="C709" s="18"/>
      <c r="D709" s="18"/>
      <c r="E709" s="18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ht="12.75" customHeight="1">
      <c r="A710" s="18"/>
      <c r="B710" s="18"/>
      <c r="C710" s="18"/>
      <c r="D710" s="18"/>
      <c r="E710" s="18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ht="12.75" customHeight="1">
      <c r="A711" s="18"/>
      <c r="B711" s="18"/>
      <c r="C711" s="18"/>
      <c r="D711" s="18"/>
      <c r="E711" s="18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ht="12.75" customHeight="1">
      <c r="A712" s="18"/>
      <c r="B712" s="18"/>
      <c r="C712" s="18"/>
      <c r="D712" s="18"/>
      <c r="E712" s="18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ht="12.75" customHeight="1">
      <c r="A713" s="18"/>
      <c r="B713" s="18"/>
      <c r="C713" s="18"/>
      <c r="D713" s="18"/>
      <c r="E713" s="18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ht="12.75" customHeight="1">
      <c r="A714" s="18"/>
      <c r="B714" s="18"/>
      <c r="C714" s="18"/>
      <c r="D714" s="18"/>
      <c r="E714" s="18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ht="12.75" customHeight="1">
      <c r="A715" s="18"/>
      <c r="B715" s="18"/>
      <c r="C715" s="18"/>
      <c r="D715" s="18"/>
      <c r="E715" s="18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ht="12.75" customHeight="1">
      <c r="A716" s="18"/>
      <c r="B716" s="18"/>
      <c r="C716" s="18"/>
      <c r="D716" s="18"/>
      <c r="E716" s="18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ht="12.75" customHeight="1">
      <c r="A717" s="18"/>
      <c r="B717" s="18"/>
      <c r="C717" s="18"/>
      <c r="D717" s="18"/>
      <c r="E717" s="18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ht="12.75" customHeight="1">
      <c r="A718" s="18"/>
      <c r="B718" s="18"/>
      <c r="C718" s="18"/>
      <c r="D718" s="18"/>
      <c r="E718" s="18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ht="12.75" customHeight="1">
      <c r="A719" s="18"/>
      <c r="B719" s="18"/>
      <c r="C719" s="18"/>
      <c r="D719" s="18"/>
      <c r="E719" s="18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ht="12.75" customHeight="1">
      <c r="A720" s="18"/>
      <c r="B720" s="18"/>
      <c r="C720" s="18"/>
      <c r="D720" s="18"/>
      <c r="E720" s="18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ht="12.75" customHeight="1">
      <c r="A721" s="18"/>
      <c r="B721" s="18"/>
      <c r="C721" s="18"/>
      <c r="D721" s="18"/>
      <c r="E721" s="18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ht="12.75" customHeight="1">
      <c r="A722" s="18"/>
      <c r="B722" s="18"/>
      <c r="C722" s="18"/>
      <c r="D722" s="18"/>
      <c r="E722" s="18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ht="12.75" customHeight="1">
      <c r="A723" s="18"/>
      <c r="B723" s="18"/>
      <c r="C723" s="18"/>
      <c r="D723" s="18"/>
      <c r="E723" s="18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ht="12.75" customHeight="1">
      <c r="A724" s="18"/>
      <c r="B724" s="18"/>
      <c r="C724" s="18"/>
      <c r="D724" s="18"/>
      <c r="E724" s="18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ht="12.75" customHeight="1">
      <c r="A725" s="18"/>
      <c r="B725" s="18"/>
      <c r="C725" s="18"/>
      <c r="D725" s="18"/>
      <c r="E725" s="18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ht="12.75" customHeight="1">
      <c r="A726" s="18"/>
      <c r="B726" s="18"/>
      <c r="C726" s="18"/>
      <c r="D726" s="18"/>
      <c r="E726" s="18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ht="12.75" customHeight="1">
      <c r="A727" s="18"/>
      <c r="B727" s="18"/>
      <c r="C727" s="18"/>
      <c r="D727" s="18"/>
      <c r="E727" s="18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ht="12.75" customHeight="1">
      <c r="A728" s="18"/>
      <c r="B728" s="18"/>
      <c r="C728" s="18"/>
      <c r="D728" s="18"/>
      <c r="E728" s="18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ht="12.75" customHeight="1">
      <c r="A729" s="18"/>
      <c r="B729" s="18"/>
      <c r="C729" s="18"/>
      <c r="D729" s="18"/>
      <c r="E729" s="18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ht="12.75" customHeight="1">
      <c r="A730" s="18"/>
      <c r="B730" s="18"/>
      <c r="C730" s="18"/>
      <c r="D730" s="18"/>
      <c r="E730" s="18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ht="12.75" customHeight="1">
      <c r="A731" s="18"/>
      <c r="B731" s="18"/>
      <c r="C731" s="18"/>
      <c r="D731" s="18"/>
      <c r="E731" s="18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ht="12.75" customHeight="1">
      <c r="A732" s="18"/>
      <c r="B732" s="18"/>
      <c r="C732" s="18"/>
      <c r="D732" s="18"/>
      <c r="E732" s="18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ht="12.75" customHeight="1">
      <c r="A733" s="18"/>
      <c r="B733" s="18"/>
      <c r="C733" s="18"/>
      <c r="D733" s="18"/>
      <c r="E733" s="18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ht="12.75" customHeight="1">
      <c r="A734" s="18"/>
      <c r="B734" s="18"/>
      <c r="C734" s="18"/>
      <c r="D734" s="18"/>
      <c r="E734" s="18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ht="12.75" customHeight="1">
      <c r="A735" s="18"/>
      <c r="B735" s="18"/>
      <c r="C735" s="18"/>
      <c r="D735" s="18"/>
      <c r="E735" s="18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ht="12.75" customHeight="1">
      <c r="A736" s="18"/>
      <c r="B736" s="18"/>
      <c r="C736" s="18"/>
      <c r="D736" s="18"/>
      <c r="E736" s="18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ht="12.75" customHeight="1">
      <c r="A737" s="18"/>
      <c r="B737" s="18"/>
      <c r="C737" s="18"/>
      <c r="D737" s="18"/>
      <c r="E737" s="18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ht="12.75" customHeight="1">
      <c r="A738" s="18"/>
      <c r="B738" s="18"/>
      <c r="C738" s="18"/>
      <c r="D738" s="18"/>
      <c r="E738" s="18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ht="12.75" customHeight="1">
      <c r="A739" s="18"/>
      <c r="B739" s="18"/>
      <c r="C739" s="18"/>
      <c r="D739" s="18"/>
      <c r="E739" s="18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ht="12.75" customHeight="1">
      <c r="A740" s="18"/>
      <c r="B740" s="18"/>
      <c r="C740" s="18"/>
      <c r="D740" s="18"/>
      <c r="E740" s="18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ht="12.75" customHeight="1">
      <c r="A741" s="18"/>
      <c r="B741" s="18"/>
      <c r="C741" s="18"/>
      <c r="D741" s="18"/>
      <c r="E741" s="18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ht="12.75" customHeight="1">
      <c r="A742" s="18"/>
      <c r="B742" s="18"/>
      <c r="C742" s="18"/>
      <c r="D742" s="18"/>
      <c r="E742" s="18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ht="12.75" customHeight="1">
      <c r="A743" s="18"/>
      <c r="B743" s="18"/>
      <c r="C743" s="18"/>
      <c r="D743" s="18"/>
      <c r="E743" s="18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ht="12.75" customHeight="1">
      <c r="A744" s="18"/>
      <c r="B744" s="18"/>
      <c r="C744" s="18"/>
      <c r="D744" s="18"/>
      <c r="E744" s="18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ht="12.75" customHeight="1">
      <c r="A745" s="18"/>
      <c r="B745" s="18"/>
      <c r="C745" s="18"/>
      <c r="D745" s="18"/>
      <c r="E745" s="18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ht="12.75" customHeight="1">
      <c r="A746" s="18"/>
      <c r="B746" s="18"/>
      <c r="C746" s="18"/>
      <c r="D746" s="18"/>
      <c r="E746" s="18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ht="12.75" customHeight="1">
      <c r="A747" s="18"/>
      <c r="B747" s="18"/>
      <c r="C747" s="18"/>
      <c r="D747" s="18"/>
      <c r="E747" s="18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ht="12.75" customHeight="1">
      <c r="A748" s="18"/>
      <c r="B748" s="18"/>
      <c r="C748" s="18"/>
      <c r="D748" s="18"/>
      <c r="E748" s="18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ht="12.75" customHeight="1">
      <c r="A749" s="18"/>
      <c r="B749" s="18"/>
      <c r="C749" s="18"/>
      <c r="D749" s="18"/>
      <c r="E749" s="18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ht="12.75" customHeight="1">
      <c r="A750" s="18"/>
      <c r="B750" s="18"/>
      <c r="C750" s="18"/>
      <c r="D750" s="18"/>
      <c r="E750" s="18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ht="12.75" customHeight="1">
      <c r="A751" s="18"/>
      <c r="B751" s="18"/>
      <c r="C751" s="18"/>
      <c r="D751" s="18"/>
      <c r="E751" s="18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ht="12.75" customHeight="1">
      <c r="A752" s="18"/>
      <c r="B752" s="18"/>
      <c r="C752" s="18"/>
      <c r="D752" s="18"/>
      <c r="E752" s="18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ht="12.75" customHeight="1">
      <c r="A753" s="18"/>
      <c r="B753" s="18"/>
      <c r="C753" s="18"/>
      <c r="D753" s="18"/>
      <c r="E753" s="18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ht="12.75" customHeight="1">
      <c r="A754" s="18"/>
      <c r="B754" s="18"/>
      <c r="C754" s="18"/>
      <c r="D754" s="18"/>
      <c r="E754" s="18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ht="12.75" customHeight="1">
      <c r="A755" s="18"/>
      <c r="B755" s="18"/>
      <c r="C755" s="18"/>
      <c r="D755" s="18"/>
      <c r="E755" s="18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ht="12.75" customHeight="1">
      <c r="A756" s="18"/>
      <c r="B756" s="18"/>
      <c r="C756" s="18"/>
      <c r="D756" s="18"/>
      <c r="E756" s="18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ht="12.75" customHeight="1">
      <c r="A757" s="18"/>
      <c r="B757" s="18"/>
      <c r="C757" s="18"/>
      <c r="D757" s="18"/>
      <c r="E757" s="18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ht="12.75" customHeight="1">
      <c r="A758" s="18"/>
      <c r="B758" s="18"/>
      <c r="C758" s="18"/>
      <c r="D758" s="18"/>
      <c r="E758" s="18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ht="12.75" customHeight="1">
      <c r="A759" s="18"/>
      <c r="B759" s="18"/>
      <c r="C759" s="18"/>
      <c r="D759" s="18"/>
      <c r="E759" s="18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ht="12.75" customHeight="1">
      <c r="A760" s="18"/>
      <c r="B760" s="18"/>
      <c r="C760" s="18"/>
      <c r="D760" s="18"/>
      <c r="E760" s="18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ht="12.75" customHeight="1">
      <c r="A761" s="18"/>
      <c r="B761" s="18"/>
      <c r="C761" s="18"/>
      <c r="D761" s="18"/>
      <c r="E761" s="18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ht="12.75" customHeight="1">
      <c r="A762" s="18"/>
      <c r="B762" s="18"/>
      <c r="C762" s="18"/>
      <c r="D762" s="18"/>
      <c r="E762" s="18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ht="12.75" customHeight="1">
      <c r="A763" s="18"/>
      <c r="B763" s="18"/>
      <c r="C763" s="18"/>
      <c r="D763" s="18"/>
      <c r="E763" s="18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ht="12.75" customHeight="1">
      <c r="A764" s="18"/>
      <c r="B764" s="18"/>
      <c r="C764" s="18"/>
      <c r="D764" s="18"/>
      <c r="E764" s="18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ht="12.75" customHeight="1">
      <c r="A765" s="18"/>
      <c r="B765" s="18"/>
      <c r="C765" s="18"/>
      <c r="D765" s="18"/>
      <c r="E765" s="18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ht="12.75" customHeight="1">
      <c r="A766" s="18"/>
      <c r="B766" s="18"/>
      <c r="C766" s="18"/>
      <c r="D766" s="18"/>
      <c r="E766" s="18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ht="12.75" customHeight="1">
      <c r="A767" s="18"/>
      <c r="B767" s="18"/>
      <c r="C767" s="18"/>
      <c r="D767" s="18"/>
      <c r="E767" s="18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ht="12.75" customHeight="1">
      <c r="A768" s="18"/>
      <c r="B768" s="18"/>
      <c r="C768" s="18"/>
      <c r="D768" s="18"/>
      <c r="E768" s="18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ht="12.75" customHeight="1">
      <c r="A769" s="18"/>
      <c r="B769" s="18"/>
      <c r="C769" s="18"/>
      <c r="D769" s="18"/>
      <c r="E769" s="18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ht="12.75" customHeight="1">
      <c r="A770" s="18"/>
      <c r="B770" s="18"/>
      <c r="C770" s="18"/>
      <c r="D770" s="18"/>
      <c r="E770" s="18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ht="12.75" customHeight="1">
      <c r="A771" s="18"/>
      <c r="B771" s="18"/>
      <c r="C771" s="18"/>
      <c r="D771" s="18"/>
      <c r="E771" s="18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ht="12.75" customHeight="1">
      <c r="A772" s="18"/>
      <c r="B772" s="18"/>
      <c r="C772" s="18"/>
      <c r="D772" s="18"/>
      <c r="E772" s="18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ht="12.75" customHeight="1">
      <c r="A773" s="18"/>
      <c r="B773" s="18"/>
      <c r="C773" s="18"/>
      <c r="D773" s="18"/>
      <c r="E773" s="18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ht="12.75" customHeight="1">
      <c r="A774" s="18"/>
      <c r="B774" s="18"/>
      <c r="C774" s="18"/>
      <c r="D774" s="18"/>
      <c r="E774" s="18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ht="12.75" customHeight="1">
      <c r="A775" s="18"/>
      <c r="B775" s="18"/>
      <c r="C775" s="18"/>
      <c r="D775" s="18"/>
      <c r="E775" s="18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ht="12.75" customHeight="1">
      <c r="A776" s="18"/>
      <c r="B776" s="18"/>
      <c r="C776" s="18"/>
      <c r="D776" s="18"/>
      <c r="E776" s="18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ht="12.75" customHeight="1">
      <c r="A777" s="18"/>
      <c r="B777" s="18"/>
      <c r="C777" s="18"/>
      <c r="D777" s="18"/>
      <c r="E777" s="18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ht="12.75" customHeight="1">
      <c r="A778" s="18"/>
      <c r="B778" s="18"/>
      <c r="C778" s="18"/>
      <c r="D778" s="18"/>
      <c r="E778" s="18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ht="12.75" customHeight="1">
      <c r="A779" s="18"/>
      <c r="B779" s="18"/>
      <c r="C779" s="18"/>
      <c r="D779" s="18"/>
      <c r="E779" s="18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ht="12.75" customHeight="1">
      <c r="A780" s="18"/>
      <c r="B780" s="18"/>
      <c r="C780" s="18"/>
      <c r="D780" s="18"/>
      <c r="E780" s="18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ht="12.75" customHeight="1">
      <c r="A781" s="18"/>
      <c r="B781" s="18"/>
      <c r="C781" s="18"/>
      <c r="D781" s="18"/>
      <c r="E781" s="18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ht="12.75" customHeight="1">
      <c r="A782" s="18"/>
      <c r="B782" s="18"/>
      <c r="C782" s="18"/>
      <c r="D782" s="18"/>
      <c r="E782" s="18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ht="12.75" customHeight="1">
      <c r="A783" s="18"/>
      <c r="B783" s="18"/>
      <c r="C783" s="18"/>
      <c r="D783" s="18"/>
      <c r="E783" s="18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ht="12.75" customHeight="1">
      <c r="A784" s="18"/>
      <c r="B784" s="18"/>
      <c r="C784" s="18"/>
      <c r="D784" s="18"/>
      <c r="E784" s="18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ht="12.75" customHeight="1">
      <c r="A785" s="18"/>
      <c r="B785" s="18"/>
      <c r="C785" s="18"/>
      <c r="D785" s="18"/>
      <c r="E785" s="18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ht="12.75" customHeight="1">
      <c r="A786" s="18"/>
      <c r="B786" s="18"/>
      <c r="C786" s="18"/>
      <c r="D786" s="18"/>
      <c r="E786" s="18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ht="12.75" customHeight="1">
      <c r="A787" s="18"/>
      <c r="B787" s="18"/>
      <c r="C787" s="18"/>
      <c r="D787" s="18"/>
      <c r="E787" s="18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ht="12.75" customHeight="1">
      <c r="A788" s="18"/>
      <c r="B788" s="18"/>
      <c r="C788" s="18"/>
      <c r="D788" s="18"/>
      <c r="E788" s="18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ht="12.75" customHeight="1">
      <c r="A789" s="18"/>
      <c r="B789" s="18"/>
      <c r="C789" s="18"/>
      <c r="D789" s="18"/>
      <c r="E789" s="18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ht="12.75" customHeight="1">
      <c r="A790" s="18"/>
      <c r="B790" s="18"/>
      <c r="C790" s="18"/>
      <c r="D790" s="18"/>
      <c r="E790" s="18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ht="12.75" customHeight="1">
      <c r="A791" s="18"/>
      <c r="B791" s="18"/>
      <c r="C791" s="18"/>
      <c r="D791" s="18"/>
      <c r="E791" s="18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ht="12.75" customHeight="1">
      <c r="A792" s="18"/>
      <c r="B792" s="18"/>
      <c r="C792" s="18"/>
      <c r="D792" s="18"/>
      <c r="E792" s="18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ht="12.75" customHeight="1">
      <c r="A793" s="18"/>
      <c r="B793" s="18"/>
      <c r="C793" s="18"/>
      <c r="D793" s="18"/>
      <c r="E793" s="18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ht="12.75" customHeight="1">
      <c r="A794" s="18"/>
      <c r="B794" s="18"/>
      <c r="C794" s="18"/>
      <c r="D794" s="18"/>
      <c r="E794" s="18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ht="12.75" customHeight="1">
      <c r="A795" s="18"/>
      <c r="B795" s="18"/>
      <c r="C795" s="18"/>
      <c r="D795" s="18"/>
      <c r="E795" s="18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ht="12.75" customHeight="1">
      <c r="A796" s="18"/>
      <c r="B796" s="18"/>
      <c r="C796" s="18"/>
      <c r="D796" s="18"/>
      <c r="E796" s="18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ht="12.75" customHeight="1">
      <c r="A797" s="18"/>
      <c r="B797" s="18"/>
      <c r="C797" s="18"/>
      <c r="D797" s="18"/>
      <c r="E797" s="18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ht="12.75" customHeight="1">
      <c r="A798" s="18"/>
      <c r="B798" s="18"/>
      <c r="C798" s="18"/>
      <c r="D798" s="18"/>
      <c r="E798" s="18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ht="12.75" customHeight="1">
      <c r="A799" s="18"/>
      <c r="B799" s="18"/>
      <c r="C799" s="18"/>
      <c r="D799" s="18"/>
      <c r="E799" s="18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ht="12.75" customHeight="1">
      <c r="A800" s="18"/>
      <c r="B800" s="18"/>
      <c r="C800" s="18"/>
      <c r="D800" s="18"/>
      <c r="E800" s="18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ht="12.75" customHeight="1">
      <c r="A801" s="18"/>
      <c r="B801" s="18"/>
      <c r="C801" s="18"/>
      <c r="D801" s="18"/>
      <c r="E801" s="18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ht="12.75" customHeight="1">
      <c r="A802" s="18"/>
      <c r="B802" s="18"/>
      <c r="C802" s="18"/>
      <c r="D802" s="18"/>
      <c r="E802" s="18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ht="12.75" customHeight="1">
      <c r="A803" s="18"/>
      <c r="B803" s="18"/>
      <c r="C803" s="18"/>
      <c r="D803" s="18"/>
      <c r="E803" s="18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ht="12.75" customHeight="1">
      <c r="A804" s="18"/>
      <c r="B804" s="18"/>
      <c r="C804" s="18"/>
      <c r="D804" s="18"/>
      <c r="E804" s="18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ht="12.75" customHeight="1">
      <c r="A805" s="18"/>
      <c r="B805" s="18"/>
      <c r="C805" s="18"/>
      <c r="D805" s="18"/>
      <c r="E805" s="18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ht="12.75" customHeight="1">
      <c r="A806" s="18"/>
      <c r="B806" s="18"/>
      <c r="C806" s="18"/>
      <c r="D806" s="18"/>
      <c r="E806" s="18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ht="12.75" customHeight="1">
      <c r="A807" s="18"/>
      <c r="B807" s="18"/>
      <c r="C807" s="18"/>
      <c r="D807" s="18"/>
      <c r="E807" s="18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ht="12.75" customHeight="1">
      <c r="A808" s="18"/>
      <c r="B808" s="18"/>
      <c r="C808" s="18"/>
      <c r="D808" s="18"/>
      <c r="E808" s="18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ht="12.75" customHeight="1">
      <c r="A809" s="18"/>
      <c r="B809" s="18"/>
      <c r="C809" s="18"/>
      <c r="D809" s="18"/>
      <c r="E809" s="18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ht="12.75" customHeight="1">
      <c r="A810" s="18"/>
      <c r="B810" s="18"/>
      <c r="C810" s="18"/>
      <c r="D810" s="18"/>
      <c r="E810" s="18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ht="12.75" customHeight="1">
      <c r="A811" s="18"/>
      <c r="B811" s="18"/>
      <c r="C811" s="18"/>
      <c r="D811" s="18"/>
      <c r="E811" s="18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ht="12.75" customHeight="1">
      <c r="A812" s="18"/>
      <c r="B812" s="18"/>
      <c r="C812" s="18"/>
      <c r="D812" s="18"/>
      <c r="E812" s="18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ht="12.75" customHeight="1">
      <c r="A813" s="18"/>
      <c r="B813" s="18"/>
      <c r="C813" s="18"/>
      <c r="D813" s="18"/>
      <c r="E813" s="18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ht="12.75" customHeight="1">
      <c r="A814" s="18"/>
      <c r="B814" s="18"/>
      <c r="C814" s="18"/>
      <c r="D814" s="18"/>
      <c r="E814" s="18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ht="12.75" customHeight="1">
      <c r="A815" s="18"/>
      <c r="B815" s="18"/>
      <c r="C815" s="18"/>
      <c r="D815" s="18"/>
      <c r="E815" s="18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ht="12.75" customHeight="1">
      <c r="A816" s="18"/>
      <c r="B816" s="18"/>
      <c r="C816" s="18"/>
      <c r="D816" s="18"/>
      <c r="E816" s="18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ht="12.75" customHeight="1">
      <c r="A817" s="18"/>
      <c r="B817" s="18"/>
      <c r="C817" s="18"/>
      <c r="D817" s="18"/>
      <c r="E817" s="18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ht="12.75" customHeight="1">
      <c r="A818" s="18"/>
      <c r="B818" s="18"/>
      <c r="C818" s="18"/>
      <c r="D818" s="18"/>
      <c r="E818" s="18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ht="12.75" customHeight="1">
      <c r="A819" s="18"/>
      <c r="B819" s="18"/>
      <c r="C819" s="18"/>
      <c r="D819" s="18"/>
      <c r="E819" s="18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ht="12.75" customHeight="1">
      <c r="A820" s="18"/>
      <c r="B820" s="18"/>
      <c r="C820" s="18"/>
      <c r="D820" s="18"/>
      <c r="E820" s="18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ht="12.75" customHeight="1">
      <c r="A821" s="18"/>
      <c r="B821" s="18"/>
      <c r="C821" s="18"/>
      <c r="D821" s="18"/>
      <c r="E821" s="18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ht="12.75" customHeight="1">
      <c r="A822" s="18"/>
      <c r="B822" s="18"/>
      <c r="C822" s="18"/>
      <c r="D822" s="18"/>
      <c r="E822" s="18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ht="12.75" customHeight="1">
      <c r="A823" s="18"/>
      <c r="B823" s="18"/>
      <c r="C823" s="18"/>
      <c r="D823" s="18"/>
      <c r="E823" s="18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ht="12.75" customHeight="1">
      <c r="A824" s="18"/>
      <c r="B824" s="18"/>
      <c r="C824" s="18"/>
      <c r="D824" s="18"/>
      <c r="E824" s="18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ht="12.75" customHeight="1">
      <c r="A825" s="18"/>
      <c r="B825" s="18"/>
      <c r="C825" s="18"/>
      <c r="D825" s="18"/>
      <c r="E825" s="18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ht="12.75" customHeight="1">
      <c r="A826" s="18"/>
      <c r="B826" s="18"/>
      <c r="C826" s="18"/>
      <c r="D826" s="18"/>
      <c r="E826" s="18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ht="12.75" customHeight="1">
      <c r="A827" s="18"/>
      <c r="B827" s="18"/>
      <c r="C827" s="18"/>
      <c r="D827" s="18"/>
      <c r="E827" s="18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ht="12.75" customHeight="1">
      <c r="A828" s="18"/>
      <c r="B828" s="18"/>
      <c r="C828" s="18"/>
      <c r="D828" s="18"/>
      <c r="E828" s="18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ht="12.75" customHeight="1">
      <c r="A829" s="18"/>
      <c r="B829" s="18"/>
      <c r="C829" s="18"/>
      <c r="D829" s="18"/>
      <c r="E829" s="18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ht="12.75" customHeight="1">
      <c r="A830" s="18"/>
      <c r="B830" s="18"/>
      <c r="C830" s="18"/>
      <c r="D830" s="18"/>
      <c r="E830" s="18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ht="12.75" customHeight="1">
      <c r="A831" s="18"/>
      <c r="B831" s="18"/>
      <c r="C831" s="18"/>
      <c r="D831" s="18"/>
      <c r="E831" s="18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ht="12.75" customHeight="1">
      <c r="A832" s="18"/>
      <c r="B832" s="18"/>
      <c r="C832" s="18"/>
      <c r="D832" s="18"/>
      <c r="E832" s="18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ht="12.75" customHeight="1">
      <c r="A833" s="18"/>
      <c r="B833" s="18"/>
      <c r="C833" s="18"/>
      <c r="D833" s="18"/>
      <c r="E833" s="18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ht="12.75" customHeight="1">
      <c r="A834" s="18"/>
      <c r="B834" s="18"/>
      <c r="C834" s="18"/>
      <c r="D834" s="18"/>
      <c r="E834" s="18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ht="12.75" customHeight="1">
      <c r="A835" s="18"/>
      <c r="B835" s="18"/>
      <c r="C835" s="18"/>
      <c r="D835" s="18"/>
      <c r="E835" s="18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ht="12.75" customHeight="1">
      <c r="A836" s="18"/>
      <c r="B836" s="18"/>
      <c r="C836" s="18"/>
      <c r="D836" s="18"/>
      <c r="E836" s="18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ht="12.75" customHeight="1">
      <c r="A837" s="18"/>
      <c r="B837" s="18"/>
      <c r="C837" s="18"/>
      <c r="D837" s="18"/>
      <c r="E837" s="18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ht="12.75" customHeight="1">
      <c r="A838" s="18"/>
      <c r="B838" s="18"/>
      <c r="C838" s="18"/>
      <c r="D838" s="18"/>
      <c r="E838" s="18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ht="12.75" customHeight="1">
      <c r="A839" s="18"/>
      <c r="B839" s="18"/>
      <c r="C839" s="18"/>
      <c r="D839" s="18"/>
      <c r="E839" s="18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ht="12.75" customHeight="1">
      <c r="A840" s="18"/>
      <c r="B840" s="18"/>
      <c r="C840" s="18"/>
      <c r="D840" s="18"/>
      <c r="E840" s="18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ht="12.75" customHeight="1">
      <c r="A841" s="18"/>
      <c r="B841" s="18"/>
      <c r="C841" s="18"/>
      <c r="D841" s="18"/>
      <c r="E841" s="18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ht="12.75" customHeight="1">
      <c r="A842" s="18"/>
      <c r="B842" s="18"/>
      <c r="C842" s="18"/>
      <c r="D842" s="18"/>
      <c r="E842" s="18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ht="12.75" customHeight="1">
      <c r="A843" s="18"/>
      <c r="B843" s="18"/>
      <c r="C843" s="18"/>
      <c r="D843" s="18"/>
      <c r="E843" s="18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ht="12.75" customHeight="1">
      <c r="A844" s="18"/>
      <c r="B844" s="18"/>
      <c r="C844" s="18"/>
      <c r="D844" s="18"/>
      <c r="E844" s="18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ht="12.75" customHeight="1">
      <c r="A845" s="18"/>
      <c r="B845" s="18"/>
      <c r="C845" s="18"/>
      <c r="D845" s="18"/>
      <c r="E845" s="18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ht="12.75" customHeight="1">
      <c r="A846" s="18"/>
      <c r="B846" s="18"/>
      <c r="C846" s="18"/>
      <c r="D846" s="18"/>
      <c r="E846" s="18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ht="12.75" customHeight="1">
      <c r="A847" s="18"/>
      <c r="B847" s="18"/>
      <c r="C847" s="18"/>
      <c r="D847" s="18"/>
      <c r="E847" s="18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ht="12.75" customHeight="1">
      <c r="A848" s="18"/>
      <c r="B848" s="18"/>
      <c r="C848" s="18"/>
      <c r="D848" s="18"/>
      <c r="E848" s="18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ht="12.75" customHeight="1">
      <c r="A849" s="18"/>
      <c r="B849" s="18"/>
      <c r="C849" s="18"/>
      <c r="D849" s="18"/>
      <c r="E849" s="18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ht="12.75" customHeight="1">
      <c r="A850" s="18"/>
      <c r="B850" s="18"/>
      <c r="C850" s="18"/>
      <c r="D850" s="18"/>
      <c r="E850" s="18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ht="12.75" customHeight="1">
      <c r="A851" s="18"/>
      <c r="B851" s="18"/>
      <c r="C851" s="18"/>
      <c r="D851" s="18"/>
      <c r="E851" s="18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ht="12.75" customHeight="1">
      <c r="A852" s="18"/>
      <c r="B852" s="18"/>
      <c r="C852" s="18"/>
      <c r="D852" s="18"/>
      <c r="E852" s="18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ht="12.75" customHeight="1">
      <c r="A853" s="18"/>
      <c r="B853" s="18"/>
      <c r="C853" s="18"/>
      <c r="D853" s="18"/>
      <c r="E853" s="18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ht="12.75" customHeight="1">
      <c r="A854" s="18"/>
      <c r="B854" s="18"/>
      <c r="C854" s="18"/>
      <c r="D854" s="18"/>
      <c r="E854" s="18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ht="12.75" customHeight="1">
      <c r="A855" s="18"/>
      <c r="B855" s="18"/>
      <c r="C855" s="18"/>
      <c r="D855" s="18"/>
      <c r="E855" s="18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ht="12.75" customHeight="1">
      <c r="A856" s="18"/>
      <c r="B856" s="18"/>
      <c r="C856" s="18"/>
      <c r="D856" s="18"/>
      <c r="E856" s="18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ht="12.75" customHeight="1">
      <c r="A857" s="18"/>
      <c r="B857" s="18"/>
      <c r="C857" s="18"/>
      <c r="D857" s="18"/>
      <c r="E857" s="18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ht="12.75" customHeight="1">
      <c r="A858" s="18"/>
      <c r="B858" s="18"/>
      <c r="C858" s="18"/>
      <c r="D858" s="18"/>
      <c r="E858" s="18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ht="12.75" customHeight="1">
      <c r="A859" s="18"/>
      <c r="B859" s="18"/>
      <c r="C859" s="18"/>
      <c r="D859" s="18"/>
      <c r="E859" s="18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ht="12.75" customHeight="1">
      <c r="A860" s="18"/>
      <c r="B860" s="18"/>
      <c r="C860" s="18"/>
      <c r="D860" s="18"/>
      <c r="E860" s="18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ht="12.75" customHeight="1">
      <c r="A861" s="18"/>
      <c r="B861" s="18"/>
      <c r="C861" s="18"/>
      <c r="D861" s="18"/>
      <c r="E861" s="18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ht="12.75" customHeight="1">
      <c r="A862" s="18"/>
      <c r="B862" s="18"/>
      <c r="C862" s="18"/>
      <c r="D862" s="18"/>
      <c r="E862" s="18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ht="12.75" customHeight="1">
      <c r="A863" s="18"/>
      <c r="B863" s="18"/>
      <c r="C863" s="18"/>
      <c r="D863" s="18"/>
      <c r="E863" s="18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ht="12.75" customHeight="1">
      <c r="A864" s="18"/>
      <c r="B864" s="18"/>
      <c r="C864" s="18"/>
      <c r="D864" s="18"/>
      <c r="E864" s="18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ht="12.75" customHeight="1">
      <c r="A865" s="18"/>
      <c r="B865" s="18"/>
      <c r="C865" s="18"/>
      <c r="D865" s="18"/>
      <c r="E865" s="18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ht="12.75" customHeight="1">
      <c r="A866" s="18"/>
      <c r="B866" s="18"/>
      <c r="C866" s="18"/>
      <c r="D866" s="18"/>
      <c r="E866" s="18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ht="12.75" customHeight="1">
      <c r="A867" s="18"/>
      <c r="B867" s="18"/>
      <c r="C867" s="18"/>
      <c r="D867" s="18"/>
      <c r="E867" s="18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ht="12.75" customHeight="1">
      <c r="A868" s="18"/>
      <c r="B868" s="18"/>
      <c r="C868" s="18"/>
      <c r="D868" s="18"/>
      <c r="E868" s="18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ht="12.75" customHeight="1">
      <c r="A869" s="18"/>
      <c r="B869" s="18"/>
      <c r="C869" s="18"/>
      <c r="D869" s="18"/>
      <c r="E869" s="18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ht="12.75" customHeight="1">
      <c r="A870" s="18"/>
      <c r="B870" s="18"/>
      <c r="C870" s="18"/>
      <c r="D870" s="18"/>
      <c r="E870" s="18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ht="12.75" customHeight="1">
      <c r="A871" s="18"/>
      <c r="B871" s="18"/>
      <c r="C871" s="18"/>
      <c r="D871" s="18"/>
      <c r="E871" s="18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ht="12.75" customHeight="1">
      <c r="A872" s="18"/>
      <c r="B872" s="18"/>
      <c r="C872" s="18"/>
      <c r="D872" s="18"/>
      <c r="E872" s="18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ht="12.75" customHeight="1">
      <c r="A873" s="18"/>
      <c r="B873" s="18"/>
      <c r="C873" s="18"/>
      <c r="D873" s="18"/>
      <c r="E873" s="18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ht="12.75" customHeight="1">
      <c r="A874" s="18"/>
      <c r="B874" s="18"/>
      <c r="C874" s="18"/>
      <c r="D874" s="18"/>
      <c r="E874" s="18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ht="12.75" customHeight="1">
      <c r="A875" s="18"/>
      <c r="B875" s="18"/>
      <c r="C875" s="18"/>
      <c r="D875" s="18"/>
      <c r="E875" s="18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ht="12.75" customHeight="1">
      <c r="A876" s="18"/>
      <c r="B876" s="18"/>
      <c r="C876" s="18"/>
      <c r="D876" s="18"/>
      <c r="E876" s="18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ht="12.75" customHeight="1">
      <c r="A877" s="18"/>
      <c r="B877" s="18"/>
      <c r="C877" s="18"/>
      <c r="D877" s="18"/>
      <c r="E877" s="18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ht="12.75" customHeight="1">
      <c r="A878" s="18"/>
      <c r="B878" s="18"/>
      <c r="C878" s="18"/>
      <c r="D878" s="18"/>
      <c r="E878" s="18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ht="12.75" customHeight="1">
      <c r="A879" s="18"/>
      <c r="B879" s="18"/>
      <c r="C879" s="18"/>
      <c r="D879" s="18"/>
      <c r="E879" s="18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ht="12.75" customHeight="1">
      <c r="A880" s="18"/>
      <c r="B880" s="18"/>
      <c r="C880" s="18"/>
      <c r="D880" s="18"/>
      <c r="E880" s="18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ht="12.75" customHeight="1">
      <c r="A881" s="18"/>
      <c r="B881" s="18"/>
      <c r="C881" s="18"/>
      <c r="D881" s="18"/>
      <c r="E881" s="18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ht="12.75" customHeight="1">
      <c r="A882" s="18"/>
      <c r="B882" s="18"/>
      <c r="C882" s="18"/>
      <c r="D882" s="18"/>
      <c r="E882" s="18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ht="12.75" customHeight="1">
      <c r="A883" s="18"/>
      <c r="B883" s="18"/>
      <c r="C883" s="18"/>
      <c r="D883" s="18"/>
      <c r="E883" s="18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ht="12.75" customHeight="1">
      <c r="A884" s="18"/>
      <c r="B884" s="18"/>
      <c r="C884" s="18"/>
      <c r="D884" s="18"/>
      <c r="E884" s="18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ht="12.75" customHeight="1">
      <c r="A885" s="18"/>
      <c r="B885" s="18"/>
      <c r="C885" s="18"/>
      <c r="D885" s="18"/>
      <c r="E885" s="18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ht="12.75" customHeight="1">
      <c r="A886" s="18"/>
      <c r="B886" s="18"/>
      <c r="C886" s="18"/>
      <c r="D886" s="18"/>
      <c r="E886" s="18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ht="12.75" customHeight="1">
      <c r="A887" s="18"/>
      <c r="B887" s="18"/>
      <c r="C887" s="18"/>
      <c r="D887" s="18"/>
      <c r="E887" s="18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ht="12.75" customHeight="1">
      <c r="A888" s="18"/>
      <c r="B888" s="18"/>
      <c r="C888" s="18"/>
      <c r="D888" s="18"/>
      <c r="E888" s="18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ht="12.75" customHeight="1">
      <c r="A889" s="18"/>
      <c r="B889" s="18"/>
      <c r="C889" s="18"/>
      <c r="D889" s="18"/>
      <c r="E889" s="18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ht="12.75" customHeight="1">
      <c r="A890" s="18"/>
      <c r="B890" s="18"/>
      <c r="C890" s="18"/>
      <c r="D890" s="18"/>
      <c r="E890" s="18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ht="12.75" customHeight="1">
      <c r="A891" s="18"/>
      <c r="B891" s="18"/>
      <c r="C891" s="18"/>
      <c r="D891" s="18"/>
      <c r="E891" s="18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ht="12.75" customHeight="1">
      <c r="A892" s="18"/>
      <c r="B892" s="18"/>
      <c r="C892" s="18"/>
      <c r="D892" s="18"/>
      <c r="E892" s="18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ht="12.75" customHeight="1">
      <c r="A893" s="18"/>
      <c r="B893" s="18"/>
      <c r="C893" s="18"/>
      <c r="D893" s="18"/>
      <c r="E893" s="18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ht="12.75" customHeight="1">
      <c r="A894" s="18"/>
      <c r="B894" s="18"/>
      <c r="C894" s="18"/>
      <c r="D894" s="18"/>
      <c r="E894" s="18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ht="12.75" customHeight="1">
      <c r="A895" s="18"/>
      <c r="B895" s="18"/>
      <c r="C895" s="18"/>
      <c r="D895" s="18"/>
      <c r="E895" s="18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ht="12.75" customHeight="1">
      <c r="A896" s="18"/>
      <c r="B896" s="18"/>
      <c r="C896" s="18"/>
      <c r="D896" s="18"/>
      <c r="E896" s="18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ht="12.75" customHeight="1">
      <c r="A897" s="18"/>
      <c r="B897" s="18"/>
      <c r="C897" s="18"/>
      <c r="D897" s="18"/>
      <c r="E897" s="18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ht="12.75" customHeight="1">
      <c r="A898" s="18"/>
      <c r="B898" s="18"/>
      <c r="C898" s="18"/>
      <c r="D898" s="18"/>
      <c r="E898" s="18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ht="12.75" customHeight="1">
      <c r="A899" s="18"/>
      <c r="B899" s="18"/>
      <c r="C899" s="18"/>
      <c r="D899" s="18"/>
      <c r="E899" s="18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ht="12.75" customHeight="1">
      <c r="A900" s="18"/>
      <c r="B900" s="18"/>
      <c r="C900" s="18"/>
      <c r="D900" s="18"/>
      <c r="E900" s="18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ht="12.75" customHeight="1">
      <c r="A901" s="18"/>
      <c r="B901" s="18"/>
      <c r="C901" s="18"/>
      <c r="D901" s="18"/>
      <c r="E901" s="18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ht="12.75" customHeight="1">
      <c r="A902" s="18"/>
      <c r="B902" s="18"/>
      <c r="C902" s="18"/>
      <c r="D902" s="18"/>
      <c r="E902" s="18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ht="12.75" customHeight="1">
      <c r="A903" s="18"/>
      <c r="B903" s="18"/>
      <c r="C903" s="18"/>
      <c r="D903" s="18"/>
      <c r="E903" s="18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ht="12.75" customHeight="1">
      <c r="A904" s="18"/>
      <c r="B904" s="18"/>
      <c r="C904" s="18"/>
      <c r="D904" s="18"/>
      <c r="E904" s="18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ht="12.75" customHeight="1">
      <c r="A905" s="18"/>
      <c r="B905" s="18"/>
      <c r="C905" s="18"/>
      <c r="D905" s="18"/>
      <c r="E905" s="18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ht="12.75" customHeight="1">
      <c r="A906" s="18"/>
      <c r="B906" s="18"/>
      <c r="C906" s="18"/>
      <c r="D906" s="18"/>
      <c r="E906" s="18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ht="12.75" customHeight="1">
      <c r="A907" s="18"/>
      <c r="B907" s="18"/>
      <c r="C907" s="18"/>
      <c r="D907" s="18"/>
      <c r="E907" s="18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ht="12.75" customHeight="1">
      <c r="A908" s="18"/>
      <c r="B908" s="18"/>
      <c r="C908" s="18"/>
      <c r="D908" s="18"/>
      <c r="E908" s="18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ht="12.75" customHeight="1">
      <c r="A909" s="18"/>
      <c r="B909" s="18"/>
      <c r="C909" s="18"/>
      <c r="D909" s="18"/>
      <c r="E909" s="18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ht="12.75" customHeight="1">
      <c r="A910" s="18"/>
      <c r="B910" s="18"/>
      <c r="C910" s="18"/>
      <c r="D910" s="18"/>
      <c r="E910" s="18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ht="12.75" customHeight="1">
      <c r="A911" s="18"/>
      <c r="B911" s="18"/>
      <c r="C911" s="18"/>
      <c r="D911" s="18"/>
      <c r="E911" s="18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ht="12.75" customHeight="1">
      <c r="A912" s="18"/>
      <c r="B912" s="18"/>
      <c r="C912" s="18"/>
      <c r="D912" s="18"/>
      <c r="E912" s="18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ht="12.75" customHeight="1">
      <c r="A913" s="18"/>
      <c r="B913" s="18"/>
      <c r="C913" s="18"/>
      <c r="D913" s="18"/>
      <c r="E913" s="18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ht="12.75" customHeight="1">
      <c r="A914" s="18"/>
      <c r="B914" s="18"/>
      <c r="C914" s="18"/>
      <c r="D914" s="18"/>
      <c r="E914" s="18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ht="12.75" customHeight="1">
      <c r="A915" s="18"/>
      <c r="B915" s="18"/>
      <c r="C915" s="18"/>
      <c r="D915" s="18"/>
      <c r="E915" s="18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ht="12.75" customHeight="1">
      <c r="A916" s="18"/>
      <c r="B916" s="18"/>
      <c r="C916" s="18"/>
      <c r="D916" s="18"/>
      <c r="E916" s="18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ht="12.75" customHeight="1">
      <c r="A917" s="18"/>
      <c r="B917" s="18"/>
      <c r="C917" s="18"/>
      <c r="D917" s="18"/>
      <c r="E917" s="18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ht="12.75" customHeight="1">
      <c r="A918" s="18"/>
      <c r="B918" s="18"/>
      <c r="C918" s="18"/>
      <c r="D918" s="18"/>
      <c r="E918" s="18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ht="12.75" customHeight="1">
      <c r="A919" s="18"/>
      <c r="B919" s="18"/>
      <c r="C919" s="18"/>
      <c r="D919" s="18"/>
      <c r="E919" s="18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ht="12.75" customHeight="1">
      <c r="A920" s="18"/>
      <c r="B920" s="18"/>
      <c r="C920" s="18"/>
      <c r="D920" s="18"/>
      <c r="E920" s="18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ht="12.75" customHeight="1">
      <c r="A921" s="18"/>
      <c r="B921" s="18"/>
      <c r="C921" s="18"/>
      <c r="D921" s="18"/>
      <c r="E921" s="18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ht="12.75" customHeight="1">
      <c r="A922" s="18"/>
      <c r="B922" s="18"/>
      <c r="C922" s="18"/>
      <c r="D922" s="18"/>
      <c r="E922" s="18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ht="12.75" customHeight="1">
      <c r="A923" s="18"/>
      <c r="B923" s="18"/>
      <c r="C923" s="18"/>
      <c r="D923" s="18"/>
      <c r="E923" s="18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ht="12.75" customHeight="1">
      <c r="A924" s="18"/>
      <c r="B924" s="18"/>
      <c r="C924" s="18"/>
      <c r="D924" s="18"/>
      <c r="E924" s="18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ht="12.75" customHeight="1">
      <c r="A925" s="18"/>
      <c r="B925" s="18"/>
      <c r="C925" s="18"/>
      <c r="D925" s="18"/>
      <c r="E925" s="18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ht="12.75" customHeight="1">
      <c r="A926" s="18"/>
      <c r="B926" s="18"/>
      <c r="C926" s="18"/>
      <c r="D926" s="18"/>
      <c r="E926" s="18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ht="12.75" customHeight="1">
      <c r="A927" s="18"/>
      <c r="B927" s="18"/>
      <c r="C927" s="18"/>
      <c r="D927" s="18"/>
      <c r="E927" s="18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ht="12.75" customHeight="1">
      <c r="A928" s="18"/>
      <c r="B928" s="18"/>
      <c r="C928" s="18"/>
      <c r="D928" s="18"/>
      <c r="E928" s="18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ht="12.75" customHeight="1">
      <c r="A929" s="18"/>
      <c r="B929" s="18"/>
      <c r="C929" s="18"/>
      <c r="D929" s="18"/>
      <c r="E929" s="18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ht="12.75" customHeight="1">
      <c r="A930" s="18"/>
      <c r="B930" s="18"/>
      <c r="C930" s="18"/>
      <c r="D930" s="18"/>
      <c r="E930" s="18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ht="12.75" customHeight="1">
      <c r="A931" s="18"/>
      <c r="B931" s="18"/>
      <c r="C931" s="18"/>
      <c r="D931" s="18"/>
      <c r="E931" s="18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ht="12.75" customHeight="1">
      <c r="A932" s="18"/>
      <c r="B932" s="18"/>
      <c r="C932" s="18"/>
      <c r="D932" s="18"/>
      <c r="E932" s="18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ht="12.75" customHeight="1">
      <c r="A933" s="18"/>
      <c r="B933" s="18"/>
      <c r="C933" s="18"/>
      <c r="D933" s="18"/>
      <c r="E933" s="18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ht="12.75" customHeight="1">
      <c r="A934" s="18"/>
      <c r="B934" s="18"/>
      <c r="C934" s="18"/>
      <c r="D934" s="18"/>
      <c r="E934" s="18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ht="12.75" customHeight="1">
      <c r="A935" s="18"/>
      <c r="B935" s="18"/>
      <c r="C935" s="18"/>
      <c r="D935" s="18"/>
      <c r="E935" s="18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ht="12.75" customHeight="1">
      <c r="A936" s="18"/>
      <c r="B936" s="18"/>
      <c r="C936" s="18"/>
      <c r="D936" s="18"/>
      <c r="E936" s="18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ht="12.75" customHeight="1">
      <c r="A937" s="18"/>
      <c r="B937" s="18"/>
      <c r="C937" s="18"/>
      <c r="D937" s="18"/>
      <c r="E937" s="18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ht="12.75" customHeight="1">
      <c r="A938" s="18"/>
      <c r="B938" s="18"/>
      <c r="C938" s="18"/>
      <c r="D938" s="18"/>
      <c r="E938" s="18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ht="12.75" customHeight="1">
      <c r="A939" s="18"/>
      <c r="B939" s="18"/>
      <c r="C939" s="18"/>
      <c r="D939" s="18"/>
      <c r="E939" s="18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ht="12.75" customHeight="1">
      <c r="A940" s="18"/>
      <c r="B940" s="18"/>
      <c r="C940" s="18"/>
      <c r="D940" s="18"/>
      <c r="E940" s="18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ht="12.75" customHeight="1">
      <c r="A941" s="18"/>
      <c r="B941" s="18"/>
      <c r="C941" s="18"/>
      <c r="D941" s="18"/>
      <c r="E941" s="18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ht="12.75" customHeight="1">
      <c r="A942" s="18"/>
      <c r="B942" s="18"/>
      <c r="C942" s="18"/>
      <c r="D942" s="18"/>
      <c r="E942" s="18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ht="12.75" customHeight="1">
      <c r="A943" s="18"/>
      <c r="B943" s="18"/>
      <c r="C943" s="18"/>
      <c r="D943" s="18"/>
      <c r="E943" s="18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ht="12.75" customHeight="1">
      <c r="A944" s="18"/>
      <c r="B944" s="18"/>
      <c r="C944" s="18"/>
      <c r="D944" s="18"/>
      <c r="E944" s="18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ht="12.75" customHeight="1">
      <c r="A945" s="18"/>
      <c r="B945" s="18"/>
      <c r="C945" s="18"/>
      <c r="D945" s="18"/>
      <c r="E945" s="18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ht="12.75" customHeight="1">
      <c r="A946" s="18"/>
      <c r="B946" s="18"/>
      <c r="C946" s="18"/>
      <c r="D946" s="18"/>
      <c r="E946" s="18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ht="12.75" customHeight="1">
      <c r="A947" s="18"/>
      <c r="B947" s="18"/>
      <c r="C947" s="18"/>
      <c r="D947" s="18"/>
      <c r="E947" s="18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ht="12.75" customHeight="1">
      <c r="A948" s="18"/>
      <c r="B948" s="18"/>
      <c r="C948" s="18"/>
      <c r="D948" s="18"/>
      <c r="E948" s="18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ht="12.75" customHeight="1">
      <c r="A949" s="18"/>
      <c r="B949" s="18"/>
      <c r="C949" s="18"/>
      <c r="D949" s="18"/>
      <c r="E949" s="18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ht="12.75" customHeight="1">
      <c r="A950" s="18"/>
      <c r="B950" s="18"/>
      <c r="C950" s="18"/>
      <c r="D950" s="18"/>
      <c r="E950" s="18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ht="12.75" customHeight="1">
      <c r="A951" s="18"/>
      <c r="B951" s="18"/>
      <c r="C951" s="18"/>
      <c r="D951" s="18"/>
      <c r="E951" s="18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ht="12.75" customHeight="1">
      <c r="A952" s="18"/>
      <c r="B952" s="18"/>
      <c r="C952" s="18"/>
      <c r="D952" s="18"/>
      <c r="E952" s="18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ht="12.75" customHeight="1">
      <c r="A953" s="18"/>
      <c r="B953" s="18"/>
      <c r="C953" s="18"/>
      <c r="D953" s="18"/>
      <c r="E953" s="18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ht="12.75" customHeight="1">
      <c r="A954" s="18"/>
      <c r="B954" s="18"/>
      <c r="C954" s="18"/>
      <c r="D954" s="18"/>
      <c r="E954" s="18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ht="12.75" customHeight="1">
      <c r="A955" s="18"/>
      <c r="B955" s="18"/>
      <c r="C955" s="18"/>
      <c r="D955" s="18"/>
      <c r="E955" s="18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ht="12.75" customHeight="1">
      <c r="A956" s="18"/>
      <c r="B956" s="18"/>
      <c r="C956" s="18"/>
      <c r="D956" s="18"/>
      <c r="E956" s="18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ht="12.75" customHeight="1">
      <c r="A957" s="18"/>
      <c r="B957" s="18"/>
      <c r="C957" s="18"/>
      <c r="D957" s="18"/>
      <c r="E957" s="18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ht="12.75" customHeight="1">
      <c r="A958" s="18"/>
      <c r="B958" s="18"/>
      <c r="C958" s="18"/>
      <c r="D958" s="18"/>
      <c r="E958" s="18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ht="12.75" customHeight="1">
      <c r="A959" s="18"/>
      <c r="B959" s="18"/>
      <c r="C959" s="18"/>
      <c r="D959" s="18"/>
      <c r="E959" s="18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ht="12.75" customHeight="1">
      <c r="A960" s="18"/>
      <c r="B960" s="18"/>
      <c r="C960" s="18"/>
      <c r="D960" s="18"/>
      <c r="E960" s="18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ht="12.75" customHeight="1">
      <c r="A961" s="18"/>
      <c r="B961" s="18"/>
      <c r="C961" s="18"/>
      <c r="D961" s="18"/>
      <c r="E961" s="18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ht="12.75" customHeight="1">
      <c r="A962" s="18"/>
      <c r="B962" s="18"/>
      <c r="C962" s="18"/>
      <c r="D962" s="18"/>
      <c r="E962" s="18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ht="12.75" customHeight="1">
      <c r="A963" s="18"/>
      <c r="B963" s="18"/>
      <c r="C963" s="18"/>
      <c r="D963" s="18"/>
      <c r="E963" s="18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ht="12.75" customHeight="1">
      <c r="A964" s="18"/>
      <c r="B964" s="18"/>
      <c r="C964" s="18"/>
      <c r="D964" s="18"/>
      <c r="E964" s="18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ht="12.75" customHeight="1">
      <c r="A965" s="18"/>
      <c r="B965" s="18"/>
      <c r="C965" s="18"/>
      <c r="D965" s="18"/>
      <c r="E965" s="18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ht="12.75" customHeight="1">
      <c r="A966" s="18"/>
      <c r="B966" s="18"/>
      <c r="C966" s="18"/>
      <c r="D966" s="18"/>
      <c r="E966" s="18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ht="12.75" customHeight="1">
      <c r="A967" s="18"/>
      <c r="B967" s="18"/>
      <c r="C967" s="18"/>
      <c r="D967" s="18"/>
      <c r="E967" s="18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ht="12.75" customHeight="1">
      <c r="A968" s="18"/>
      <c r="B968" s="18"/>
      <c r="C968" s="18"/>
      <c r="D968" s="18"/>
      <c r="E968" s="18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ht="12.75" customHeight="1">
      <c r="A969" s="18"/>
      <c r="B969" s="18"/>
      <c r="C969" s="18"/>
      <c r="D969" s="18"/>
      <c r="E969" s="18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ht="12.75" customHeight="1">
      <c r="A970" s="18"/>
      <c r="B970" s="18"/>
      <c r="C970" s="18"/>
      <c r="D970" s="18"/>
      <c r="E970" s="18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ht="12.75" customHeight="1">
      <c r="A971" s="18"/>
      <c r="B971" s="18"/>
      <c r="C971" s="18"/>
      <c r="D971" s="18"/>
      <c r="E971" s="18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ht="12.75" customHeight="1">
      <c r="A972" s="18"/>
      <c r="B972" s="18"/>
      <c r="C972" s="18"/>
      <c r="D972" s="18"/>
      <c r="E972" s="18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ht="12.75" customHeight="1">
      <c r="A973" s="18"/>
      <c r="B973" s="18"/>
      <c r="C973" s="18"/>
      <c r="D973" s="18"/>
      <c r="E973" s="18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ht="12.75" customHeight="1">
      <c r="A974" s="18"/>
      <c r="B974" s="18"/>
      <c r="C974" s="18"/>
      <c r="D974" s="18"/>
      <c r="E974" s="18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ht="12.75" customHeight="1">
      <c r="A975" s="18"/>
      <c r="B975" s="18"/>
      <c r="C975" s="18"/>
      <c r="D975" s="18"/>
      <c r="E975" s="18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ht="12.75" customHeight="1">
      <c r="A976" s="18"/>
      <c r="B976" s="18"/>
      <c r="C976" s="18"/>
      <c r="D976" s="18"/>
      <c r="E976" s="18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ht="12.75" customHeight="1">
      <c r="A977" s="18"/>
      <c r="B977" s="18"/>
      <c r="C977" s="18"/>
      <c r="D977" s="18"/>
      <c r="E977" s="18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ht="12.75" customHeight="1">
      <c r="A978" s="18"/>
      <c r="B978" s="18"/>
      <c r="C978" s="18"/>
      <c r="D978" s="18"/>
      <c r="E978" s="18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ht="12.75" customHeight="1">
      <c r="A979" s="18"/>
      <c r="B979" s="18"/>
      <c r="C979" s="18"/>
      <c r="D979" s="18"/>
      <c r="E979" s="18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ht="12.75" customHeight="1">
      <c r="A980" s="18"/>
      <c r="B980" s="18"/>
      <c r="C980" s="18"/>
      <c r="D980" s="18"/>
      <c r="E980" s="18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ht="12.75" customHeight="1">
      <c r="A981" s="18"/>
      <c r="B981" s="18"/>
      <c r="C981" s="18"/>
      <c r="D981" s="18"/>
      <c r="E981" s="18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ht="12.75" customHeight="1">
      <c r="A982" s="18"/>
      <c r="B982" s="18"/>
      <c r="C982" s="18"/>
      <c r="D982" s="18"/>
      <c r="E982" s="18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ht="12.75" customHeight="1">
      <c r="A983" s="18"/>
      <c r="B983" s="18"/>
      <c r="C983" s="18"/>
      <c r="D983" s="18"/>
      <c r="E983" s="18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ht="12.75" customHeight="1">
      <c r="A984" s="18"/>
      <c r="B984" s="18"/>
      <c r="C984" s="18"/>
      <c r="D984" s="18"/>
      <c r="E984" s="18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ht="12.75" customHeight="1">
      <c r="A985" s="18"/>
      <c r="B985" s="18"/>
      <c r="C985" s="18"/>
      <c r="D985" s="18"/>
      <c r="E985" s="18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ht="12.75" customHeight="1">
      <c r="A986" s="18"/>
      <c r="B986" s="18"/>
      <c r="C986" s="18"/>
      <c r="D986" s="18"/>
      <c r="E986" s="18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ht="12.75" customHeight="1">
      <c r="A987" s="18"/>
      <c r="B987" s="18"/>
      <c r="C987" s="18"/>
      <c r="D987" s="18"/>
      <c r="E987" s="18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ht="12.75" customHeight="1">
      <c r="A988" s="18"/>
      <c r="B988" s="18"/>
      <c r="C988" s="18"/>
      <c r="D988" s="18"/>
      <c r="E988" s="18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ht="12.75" customHeight="1">
      <c r="A989" s="18"/>
      <c r="B989" s="18"/>
      <c r="C989" s="18"/>
      <c r="D989" s="18"/>
      <c r="E989" s="18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ht="12.75" customHeight="1">
      <c r="A990" s="18"/>
      <c r="B990" s="18"/>
      <c r="C990" s="18"/>
      <c r="D990" s="18"/>
      <c r="E990" s="18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ht="12.75" customHeight="1">
      <c r="A991" s="18"/>
      <c r="B991" s="18"/>
      <c r="C991" s="18"/>
      <c r="D991" s="18"/>
      <c r="E991" s="18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ht="12.75" customHeight="1">
      <c r="A992" s="18"/>
      <c r="B992" s="18"/>
      <c r="C992" s="18"/>
      <c r="D992" s="18"/>
      <c r="E992" s="18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ht="12.75" customHeight="1">
      <c r="A993" s="18"/>
      <c r="B993" s="18"/>
      <c r="C993" s="18"/>
      <c r="D993" s="18"/>
      <c r="E993" s="18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ht="12.75" customHeight="1">
      <c r="A994" s="18"/>
      <c r="B994" s="18"/>
      <c r="C994" s="18"/>
      <c r="D994" s="18"/>
      <c r="E994" s="18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ht="12.75" customHeight="1">
      <c r="A995" s="18"/>
      <c r="B995" s="18"/>
      <c r="C995" s="18"/>
      <c r="D995" s="18"/>
      <c r="E995" s="18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ht="12.75" customHeight="1">
      <c r="A996" s="18"/>
      <c r="B996" s="18"/>
      <c r="C996" s="18"/>
      <c r="D996" s="18"/>
      <c r="E996" s="18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ht="12.75" customHeight="1">
      <c r="A997" s="18"/>
      <c r="B997" s="18"/>
      <c r="C997" s="18"/>
      <c r="D997" s="18"/>
      <c r="E997" s="18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ht="12.75" customHeight="1">
      <c r="A998" s="18"/>
      <c r="B998" s="18"/>
      <c r="C998" s="18"/>
      <c r="D998" s="18"/>
      <c r="E998" s="18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ht="12.75" customHeight="1">
      <c r="A999" s="18"/>
      <c r="B999" s="18"/>
      <c r="C999" s="18"/>
      <c r="D999" s="18"/>
      <c r="E999" s="18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</sheetData>
  <mergeCells count="16">
    <mergeCell ref="A1:E1"/>
    <mergeCell ref="A8:B8"/>
    <mergeCell ref="A9:B9"/>
    <mergeCell ref="A10:B10"/>
    <mergeCell ref="A11:B11"/>
    <mergeCell ref="A15:E15"/>
    <mergeCell ref="G16:I17"/>
    <mergeCell ref="A92:E92"/>
    <mergeCell ref="G93:I94"/>
    <mergeCell ref="A16:E16"/>
    <mergeCell ref="A41:E41"/>
    <mergeCell ref="A42:B42"/>
    <mergeCell ref="G42:I43"/>
    <mergeCell ref="A66:E66"/>
    <mergeCell ref="A67:E67"/>
    <mergeCell ref="G67:I6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56" width="10.0"/>
  </cols>
  <sheetData>
    <row r="1" ht="12.75" customHeight="1">
      <c r="A1" s="66" t="str">
        <f>IF('Conciliación Bancaria'!$A1:$IU1,"AAAAAF7/zQA=",0)</f>
        <v>#VALUE!</v>
      </c>
      <c r="B1" s="66" t="str">
        <f>AND('Conciliación Bancaria'!A1,"AAAAAF7/zQE=")</f>
        <v>#VALUE!</v>
      </c>
      <c r="C1" s="66" t="str">
        <f>AND('Conciliación Bancaria'!B1,"AAAAAF7/zQI=")</f>
        <v>#VALUE!</v>
      </c>
      <c r="D1" s="66" t="str">
        <f>AND('Conciliación Bancaria'!C1,"AAAAAF7/zQM=")</f>
        <v>#VALUE!</v>
      </c>
      <c r="E1" s="66" t="str">
        <f>AND('Conciliación Bancaria'!D1,"AAAAAF7/zQQ=")</f>
        <v>#VALUE!</v>
      </c>
      <c r="F1" s="66" t="str">
        <f>AND('Conciliación Bancaria'!E1,"AAAAAF7/zQU=")</f>
        <v>#VALUE!</v>
      </c>
      <c r="G1" s="66" t="str">
        <f>AND('Conciliación Bancaria'!F1,"AAAAAF7/zQY=")</f>
        <v>#VALUE!</v>
      </c>
      <c r="H1" s="66" t="str">
        <f>AND('Conciliación Bancaria'!G1,"AAAAAF7/zQc=")</f>
        <v>#VALUE!</v>
      </c>
      <c r="I1" s="66" t="str">
        <f>AND('Conciliación Bancaria'!H1,"AAAAAF7/zQg=")</f>
        <v>#VALUE!</v>
      </c>
      <c r="J1" s="66" t="str">
        <f>AND('Conciliación Bancaria'!I1,"AAAAAF7/zQk=")</f>
        <v>#VALUE!</v>
      </c>
      <c r="K1" s="66" t="str">
        <f>AND('Conciliación Bancaria'!J1,"AAAAAF7/zQo=")</f>
        <v>#VALUE!</v>
      </c>
      <c r="L1" s="66" t="str">
        <f>AND('Conciliación Bancaria'!K1,"AAAAAF7/zQs=")</f>
        <v>#VALUE!</v>
      </c>
      <c r="M1" s="66" t="str">
        <f>AND('Conciliación Bancaria'!L1,"AAAAAF7/zQw=")</f>
        <v>#VALUE!</v>
      </c>
      <c r="N1" s="66" t="str">
        <f>AND('Conciliación Bancaria'!M1,"AAAAAF7/zQ0=")</f>
        <v>#VALUE!</v>
      </c>
      <c r="O1" s="66">
        <f>IF('Conciliación Bancaria'!$A2:$IU2,"AAAAAF7/zQ4=",0)</f>
        <v>0</v>
      </c>
      <c r="P1" s="66" t="str">
        <f>AND('Conciliación Bancaria'!A2,"AAAAAF7/zQ8=")</f>
        <v>#VALUE!</v>
      </c>
      <c r="Q1" s="66" t="str">
        <f>AND('Conciliación Bancaria'!B2,"AAAAAF7/zRA=")</f>
        <v>#VALUE!</v>
      </c>
      <c r="R1" s="66" t="str">
        <f>AND('Conciliación Bancaria'!C2,"AAAAAF7/zRE=")</f>
        <v>#VALUE!</v>
      </c>
      <c r="S1" s="66" t="str">
        <f>AND('Conciliación Bancaria'!D2,"AAAAAF7/zRI=")</f>
        <v>#VALUE!</v>
      </c>
      <c r="T1" s="66" t="str">
        <f>AND('Conciliación Bancaria'!E2,"AAAAAF7/zRM=")</f>
        <v>#VALUE!</v>
      </c>
      <c r="U1" s="66" t="str">
        <f>AND('Conciliación Bancaria'!F2,"AAAAAF7/zRQ=")</f>
        <v>#VALUE!</v>
      </c>
      <c r="V1" s="66" t="str">
        <f>AND('Conciliación Bancaria'!G2,"AAAAAF7/zRU=")</f>
        <v>#VALUE!</v>
      </c>
      <c r="W1" s="66" t="str">
        <f>AND('Conciliación Bancaria'!H2,"AAAAAF7/zRY=")</f>
        <v>#VALUE!</v>
      </c>
      <c r="X1" s="66" t="str">
        <f>AND('Conciliación Bancaria'!I2,"AAAAAF7/zRc=")</f>
        <v>#VALUE!</v>
      </c>
      <c r="Y1" s="66" t="str">
        <f>AND('Conciliación Bancaria'!J2,"AAAAAF7/zRg=")</f>
        <v>#VALUE!</v>
      </c>
      <c r="Z1" s="66" t="str">
        <f>AND('Conciliación Bancaria'!K2,"AAAAAF7/zRk=")</f>
        <v>#VALUE!</v>
      </c>
      <c r="AA1" s="66" t="str">
        <f>AND('Conciliación Bancaria'!L2,"AAAAAF7/zRo=")</f>
        <v>#VALUE!</v>
      </c>
      <c r="AB1" s="66" t="str">
        <f>AND('Conciliación Bancaria'!M2,"AAAAAF7/zRs=")</f>
        <v>#VALUE!</v>
      </c>
      <c r="AC1" s="66" t="str">
        <f>IF('Conciliación Bancaria'!$A3:$IU3,"AAAAAF7/zRw=",0)</f>
        <v>#VALUE!</v>
      </c>
      <c r="AD1" s="66" t="str">
        <f>AND('Conciliación Bancaria'!A3,"AAAAAF7/zR0=")</f>
        <v>#VALUE!</v>
      </c>
      <c r="AE1" s="66" t="str">
        <f>AND('Conciliación Bancaria'!B3,"AAAAAF7/zR4=")</f>
        <v>#VALUE!</v>
      </c>
      <c r="AF1" s="66" t="str">
        <f>AND('Conciliación Bancaria'!C3,"AAAAAF7/zR8=")</f>
        <v>#VALUE!</v>
      </c>
      <c r="AG1" s="66" t="str">
        <f>AND('Conciliación Bancaria'!D3,"AAAAAF7/zSA=")</f>
        <v>#VALUE!</v>
      </c>
      <c r="AH1" s="66" t="str">
        <f>AND('Conciliación Bancaria'!E3,"AAAAAF7/zSE=")</f>
        <v>#VALUE!</v>
      </c>
      <c r="AI1" s="66" t="str">
        <f>AND('Conciliación Bancaria'!F3,"AAAAAF7/zSI=")</f>
        <v>#VALUE!</v>
      </c>
      <c r="AJ1" s="66" t="str">
        <f>AND('Conciliación Bancaria'!G3,"AAAAAF7/zSM=")</f>
        <v>#VALUE!</v>
      </c>
      <c r="AK1" s="66" t="str">
        <f>AND('Conciliación Bancaria'!H3,"AAAAAF7/zSQ=")</f>
        <v>#VALUE!</v>
      </c>
      <c r="AL1" s="66" t="str">
        <f>AND('Conciliación Bancaria'!I3,"AAAAAF7/zSU=")</f>
        <v>#VALUE!</v>
      </c>
      <c r="AM1" s="66" t="str">
        <f>AND('Conciliación Bancaria'!J3,"AAAAAF7/zSY=")</f>
        <v>#VALUE!</v>
      </c>
      <c r="AN1" s="66" t="str">
        <f>AND('Conciliación Bancaria'!K3,"AAAAAF7/zSc=")</f>
        <v>#VALUE!</v>
      </c>
      <c r="AO1" s="66" t="str">
        <f>AND('Conciliación Bancaria'!L3,"AAAAAF7/zSg=")</f>
        <v>#VALUE!</v>
      </c>
      <c r="AP1" s="66" t="str">
        <f>AND('Conciliación Bancaria'!M3,"AAAAAF7/zSk=")</f>
        <v>#VALUE!</v>
      </c>
      <c r="AQ1" s="66" t="str">
        <f>IF('Conciliación Bancaria'!$A4:$IU4,"AAAAAF7/zSo=",0)</f>
        <v>#VALUE!</v>
      </c>
      <c r="AR1" s="66" t="str">
        <f>AND('Conciliación Bancaria'!A4,"AAAAAF7/zSs=")</f>
        <v>#VALUE!</v>
      </c>
      <c r="AS1" s="66" t="str">
        <f>AND('Conciliación Bancaria'!B4,"AAAAAF7/zSw=")</f>
        <v>#VALUE!</v>
      </c>
      <c r="AT1" s="66" t="str">
        <f>AND('Conciliación Bancaria'!C4,"AAAAAF7/zS0=")</f>
        <v>#VALUE!</v>
      </c>
      <c r="AU1" s="66" t="str">
        <f>AND('Conciliación Bancaria'!D4,"AAAAAF7/zS4=")</f>
        <v>#VALUE!</v>
      </c>
      <c r="AV1" s="66" t="str">
        <f>AND('Conciliación Bancaria'!E4,"AAAAAF7/zS8=")</f>
        <v>#VALUE!</v>
      </c>
      <c r="AW1" s="66" t="str">
        <f>AND('Conciliación Bancaria'!F4,"AAAAAF7/zTA=")</f>
        <v>#VALUE!</v>
      </c>
      <c r="AX1" s="66" t="str">
        <f>AND('Conciliación Bancaria'!G4,"AAAAAF7/zTE=")</f>
        <v>#VALUE!</v>
      </c>
      <c r="AY1" s="66" t="str">
        <f>AND('Conciliación Bancaria'!H4,"AAAAAF7/zTI=")</f>
        <v>#VALUE!</v>
      </c>
      <c r="AZ1" s="66" t="str">
        <f>AND('Conciliación Bancaria'!I4,"AAAAAF7/zTM=")</f>
        <v>#VALUE!</v>
      </c>
      <c r="BA1" s="66" t="str">
        <f>AND('Conciliación Bancaria'!J4,"AAAAAF7/zTQ=")</f>
        <v>#VALUE!</v>
      </c>
      <c r="BB1" s="66" t="str">
        <f>AND('Conciliación Bancaria'!K4,"AAAAAF7/zTU=")</f>
        <v>#VALUE!</v>
      </c>
      <c r="BC1" s="66" t="str">
        <f>AND('Conciliación Bancaria'!L4,"AAAAAF7/zTY=")</f>
        <v>#VALUE!</v>
      </c>
      <c r="BD1" s="66" t="str">
        <f>AND('Conciliación Bancaria'!M4,"AAAAAF7/zTc=")</f>
        <v>#VALUE!</v>
      </c>
      <c r="BE1" s="66" t="str">
        <f>IF('Conciliación Bancaria'!$A6:$IU6,"AAAAAF7/zTg=",0)</f>
        <v>#VALUE!</v>
      </c>
      <c r="BF1" s="66" t="str">
        <f>AND('Conciliación Bancaria'!A6,"AAAAAF7/zTk=")</f>
        <v>#VALUE!</v>
      </c>
      <c r="BG1" s="66" t="str">
        <f>AND('Conciliación Bancaria'!B6,"AAAAAF7/zTo=")</f>
        <v>#VALUE!</v>
      </c>
      <c r="BH1" s="66" t="str">
        <f>AND('Conciliación Bancaria'!C6,"AAAAAF7/zTs=")</f>
        <v>#VALUE!</v>
      </c>
      <c r="BI1" s="66" t="str">
        <f>AND('Conciliación Bancaria'!D5,"AAAAAF7/zTw=")</f>
        <v>#VALUE!</v>
      </c>
      <c r="BJ1" s="66" t="str">
        <f>AND('Conciliación Bancaria'!E5,"AAAAAF7/zT0=")</f>
        <v>#VALUE!</v>
      </c>
      <c r="BK1" s="66" t="str">
        <f>AND('Conciliación Bancaria'!F6,"AAAAAF7/zT4=")</f>
        <v>#VALUE!</v>
      </c>
      <c r="BL1" s="66" t="str">
        <f>AND('Conciliación Bancaria'!G6,"AAAAAF7/zT8=")</f>
        <v>#VALUE!</v>
      </c>
      <c r="BM1" s="66" t="str">
        <f>AND('Conciliación Bancaria'!H6,"AAAAAF7/zUA=")</f>
        <v>#VALUE!</v>
      </c>
      <c r="BN1" s="66" t="str">
        <f>AND('Conciliación Bancaria'!I6,"AAAAAF7/zUE=")</f>
        <v>#VALUE!</v>
      </c>
      <c r="BO1" s="66" t="str">
        <f>AND('Conciliación Bancaria'!J6,"AAAAAF7/zUI=")</f>
        <v>#VALUE!</v>
      </c>
      <c r="BP1" s="66" t="str">
        <f>AND('Conciliación Bancaria'!K6,"AAAAAF7/zUM=")</f>
        <v>#VALUE!</v>
      </c>
      <c r="BQ1" s="66" t="str">
        <f>AND('Conciliación Bancaria'!L6,"AAAAAF7/zUQ=")</f>
        <v>#VALUE!</v>
      </c>
      <c r="BR1" s="66" t="str">
        <f>AND('Conciliación Bancaria'!M6,"AAAAAF7/zUU=")</f>
        <v>#VALUE!</v>
      </c>
      <c r="BS1" s="66" t="str">
        <f>IF('Conciliación Bancaria'!$A7:$IU7,"AAAAAF7/zUY=",0)</f>
        <v>#VALUE!</v>
      </c>
      <c r="BT1" s="66" t="str">
        <f>AND('Conciliación Bancaria'!A7,"AAAAAF7/zUc=")</f>
        <v>#VALUE!</v>
      </c>
      <c r="BU1" s="66" t="str">
        <f>AND('Conciliación Bancaria'!B7,"AAAAAF7/zUg=")</f>
        <v>#VALUE!</v>
      </c>
      <c r="BV1" s="66" t="str">
        <f>AND('Conciliación Bancaria'!C7,"AAAAAF7/zUk=")</f>
        <v>#VALUE!</v>
      </c>
      <c r="BW1" s="66" t="str">
        <f>AND('Conciliación Bancaria'!D7,"AAAAAF7/zUo=")</f>
        <v>#VALUE!</v>
      </c>
      <c r="BX1" s="66" t="str">
        <f>AND('Conciliación Bancaria'!E7,"AAAAAF7/zUs=")</f>
        <v>#VALUE!</v>
      </c>
      <c r="BY1" s="66" t="str">
        <f>AND('Conciliación Bancaria'!F7,"AAAAAF7/zUw=")</f>
        <v>#VALUE!</v>
      </c>
      <c r="BZ1" s="66" t="str">
        <f>AND('Conciliación Bancaria'!G7,"AAAAAF7/zU0=")</f>
        <v>#VALUE!</v>
      </c>
      <c r="CA1" s="66" t="str">
        <f>AND('Conciliación Bancaria'!H7,"AAAAAF7/zU4=")</f>
        <v>#VALUE!</v>
      </c>
      <c r="CB1" s="66" t="str">
        <f>AND('Conciliación Bancaria'!I7,"AAAAAF7/zU8=")</f>
        <v>#VALUE!</v>
      </c>
      <c r="CC1" s="66" t="str">
        <f>AND('Conciliación Bancaria'!J7,"AAAAAF7/zVA=")</f>
        <v>#VALUE!</v>
      </c>
      <c r="CD1" s="66" t="str">
        <f>AND('Conciliación Bancaria'!K7,"AAAAAF7/zVE=")</f>
        <v>#VALUE!</v>
      </c>
      <c r="CE1" s="66" t="str">
        <f>AND('Conciliación Bancaria'!L7,"AAAAAF7/zVI=")</f>
        <v>#VALUE!</v>
      </c>
      <c r="CF1" s="66" t="str">
        <f>AND('Conciliación Bancaria'!M7,"AAAAAF7/zVM=")</f>
        <v>#VALUE!</v>
      </c>
      <c r="CG1" s="66" t="str">
        <f>IF('Conciliación Bancaria'!$A8:$IU8,"AAAAAF7/zVQ=",0)</f>
        <v>#VALUE!</v>
      </c>
      <c r="CH1" s="66" t="str">
        <f>AND('Conciliación Bancaria'!A8,"AAAAAF7/zVU=")</f>
        <v>#VALUE!</v>
      </c>
      <c r="CI1" s="66" t="str">
        <f>AND('Conciliación Bancaria'!B8,"AAAAAF7/zVY=")</f>
        <v>#VALUE!</v>
      </c>
      <c r="CJ1" s="66" t="b">
        <f>AND('Conciliación Bancaria'!C8,"AAAAAF7/zVc=")</f>
        <v>0</v>
      </c>
      <c r="CK1" s="66" t="str">
        <f>AND('Conciliación Bancaria'!D8,"AAAAAF7/zVg=")</f>
        <v>#VALUE!</v>
      </c>
      <c r="CL1" s="66" t="b">
        <f>AND('Conciliación Bancaria'!E8,"AAAAAF7/zVk=")</f>
        <v>0</v>
      </c>
      <c r="CM1" s="66" t="str">
        <f>AND('Conciliación Bancaria'!F8,"AAAAAF7/zVo=")</f>
        <v>#VALUE!</v>
      </c>
      <c r="CN1" s="66" t="str">
        <f>AND('Conciliación Bancaria'!G8,"AAAAAF7/zVs=")</f>
        <v>#VALUE!</v>
      </c>
      <c r="CO1" s="66" t="str">
        <f>AND('Conciliación Bancaria'!H8,"AAAAAF7/zVw=")</f>
        <v>#VALUE!</v>
      </c>
      <c r="CP1" s="66" t="str">
        <f>AND('Conciliación Bancaria'!I8,"AAAAAF7/zV0=")</f>
        <v>#VALUE!</v>
      </c>
      <c r="CQ1" s="66" t="str">
        <f>AND('Conciliación Bancaria'!J8,"AAAAAF7/zV4=")</f>
        <v>#VALUE!</v>
      </c>
      <c r="CR1" s="66" t="str">
        <f>AND('Conciliación Bancaria'!K8,"AAAAAF7/zV8=")</f>
        <v>#VALUE!</v>
      </c>
      <c r="CS1" s="66" t="str">
        <f>AND('Conciliación Bancaria'!L8,"AAAAAF7/zWA=")</f>
        <v>#VALUE!</v>
      </c>
      <c r="CT1" s="66" t="str">
        <f>AND('Conciliación Bancaria'!M8,"AAAAAF7/zWE=")</f>
        <v>#VALUE!</v>
      </c>
      <c r="CU1" s="66" t="str">
        <f>IF('Conciliación Bancaria'!$A9:$IU9,"AAAAAF7/zWI=",0)</f>
        <v>#VALUE!</v>
      </c>
      <c r="CV1" s="66" t="str">
        <f>AND('Conciliación Bancaria'!A9,"AAAAAF7/zWM=")</f>
        <v>#VALUE!</v>
      </c>
      <c r="CW1" s="66" t="str">
        <f>AND('Conciliación Bancaria'!B9,"AAAAAF7/zWQ=")</f>
        <v>#VALUE!</v>
      </c>
      <c r="CX1" s="66" t="b">
        <f>AND('Conciliación Bancaria'!C9,"AAAAAF7/zWU=")</f>
        <v>0</v>
      </c>
      <c r="CY1" s="66" t="str">
        <f>AND('Conciliación Bancaria'!D9,"AAAAAF7/zWY=")</f>
        <v>#VALUE!</v>
      </c>
      <c r="CZ1" s="66" t="str">
        <f>AND('Conciliación Bancaria'!E9,"AAAAAF7/zWc=")</f>
        <v>#VALUE!</v>
      </c>
      <c r="DA1" s="66" t="str">
        <f>AND('Conciliación Bancaria'!F9,"AAAAAF7/zWg=")</f>
        <v>#VALUE!</v>
      </c>
      <c r="DB1" s="66" t="str">
        <f>AND('Conciliación Bancaria'!G9,"AAAAAF7/zWk=")</f>
        <v>#VALUE!</v>
      </c>
      <c r="DC1" s="66" t="str">
        <f>AND('Conciliación Bancaria'!H9,"AAAAAF7/zWo=")</f>
        <v>#VALUE!</v>
      </c>
      <c r="DD1" s="66" t="str">
        <f>AND('Conciliación Bancaria'!I9,"AAAAAF7/zWs=")</f>
        <v>#VALUE!</v>
      </c>
      <c r="DE1" s="66" t="str">
        <f>AND('Conciliación Bancaria'!J9,"AAAAAF7/zWw=")</f>
        <v>#VALUE!</v>
      </c>
      <c r="DF1" s="66" t="str">
        <f>AND('Conciliación Bancaria'!K9,"AAAAAF7/zW0=")</f>
        <v>#VALUE!</v>
      </c>
      <c r="DG1" s="66" t="str">
        <f>AND('Conciliación Bancaria'!L9,"AAAAAF7/zW4=")</f>
        <v>#VALUE!</v>
      </c>
      <c r="DH1" s="66" t="str">
        <f>AND('Conciliación Bancaria'!M9,"AAAAAF7/zW8=")</f>
        <v>#VALUE!</v>
      </c>
      <c r="DI1" s="66" t="str">
        <f>IF('Conciliación Bancaria'!$A10:$IU10,"AAAAAF7/zXA=",0)</f>
        <v>#VALUE!</v>
      </c>
      <c r="DJ1" s="66" t="str">
        <f>AND('Conciliación Bancaria'!A10,"AAAAAF7/zXE=")</f>
        <v>#VALUE!</v>
      </c>
      <c r="DK1" s="66" t="str">
        <f>AND('Conciliación Bancaria'!B10,"AAAAAF7/zXI=")</f>
        <v>#VALUE!</v>
      </c>
      <c r="DL1" s="66" t="b">
        <f>AND('Conciliación Bancaria'!C10,"AAAAAF7/zXM=")</f>
        <v>0</v>
      </c>
      <c r="DM1" s="66" t="str">
        <f>AND('Conciliación Bancaria'!D10,"AAAAAF7/zXQ=")</f>
        <v>#VALUE!</v>
      </c>
      <c r="DN1" s="66" t="b">
        <f>AND('Conciliación Bancaria'!E10,"AAAAAF7/zXU=")</f>
        <v>0</v>
      </c>
      <c r="DO1" s="66" t="str">
        <f>AND('Conciliación Bancaria'!F10,"AAAAAF7/zXY=")</f>
        <v>#VALUE!</v>
      </c>
      <c r="DP1" s="66" t="str">
        <f>AND('Conciliación Bancaria'!G10,"AAAAAF7/zXc=")</f>
        <v>#VALUE!</v>
      </c>
      <c r="DQ1" s="66" t="str">
        <f>AND('Conciliación Bancaria'!H10,"AAAAAF7/zXg=")</f>
        <v>#VALUE!</v>
      </c>
      <c r="DR1" s="66" t="str">
        <f>AND('Conciliación Bancaria'!I10,"AAAAAF7/zXk=")</f>
        <v>#VALUE!</v>
      </c>
      <c r="DS1" s="66" t="str">
        <f>AND('Conciliación Bancaria'!J10,"AAAAAF7/zXo=")</f>
        <v>#VALUE!</v>
      </c>
      <c r="DT1" s="66" t="str">
        <f>AND('Conciliación Bancaria'!K10,"AAAAAF7/zXs=")</f>
        <v>#VALUE!</v>
      </c>
      <c r="DU1" s="66" t="str">
        <f>AND('Conciliación Bancaria'!L10,"AAAAAF7/zXw=")</f>
        <v>#VALUE!</v>
      </c>
      <c r="DV1" s="66" t="str">
        <f>AND('Conciliación Bancaria'!M10,"AAAAAF7/zX0=")</f>
        <v>#VALUE!</v>
      </c>
      <c r="DW1" s="66" t="str">
        <f>IF('Conciliación Bancaria'!$A11:$IU11,"AAAAAF7/zX4=",0)</f>
        <v>#VALUE!</v>
      </c>
      <c r="DX1" s="66" t="str">
        <f>AND('Conciliación Bancaria'!A11,"AAAAAF7/zX8=")</f>
        <v>#VALUE!</v>
      </c>
      <c r="DY1" s="66" t="str">
        <f>AND('Conciliación Bancaria'!B11,"AAAAAF7/zYA=")</f>
        <v>#VALUE!</v>
      </c>
      <c r="DZ1" s="66" t="b">
        <f>AND('Conciliación Bancaria'!C11,"AAAAAF7/zYE=")</f>
        <v>0</v>
      </c>
      <c r="EA1" s="66" t="str">
        <f>AND('Conciliación Bancaria'!D11,"AAAAAF7/zYI=")</f>
        <v>#VALUE!</v>
      </c>
      <c r="EB1" s="66" t="str">
        <f>AND('Conciliación Bancaria'!E11,"AAAAAF7/zYM=")</f>
        <v>#VALUE!</v>
      </c>
      <c r="EC1" s="66" t="str">
        <f>AND('Conciliación Bancaria'!F11,"AAAAAF7/zYQ=")</f>
        <v>#VALUE!</v>
      </c>
      <c r="ED1" s="66" t="str">
        <f>AND('Conciliación Bancaria'!G11,"AAAAAF7/zYU=")</f>
        <v>#VALUE!</v>
      </c>
      <c r="EE1" s="66" t="str">
        <f>AND('Conciliación Bancaria'!H11,"AAAAAF7/zYY=")</f>
        <v>#VALUE!</v>
      </c>
      <c r="EF1" s="66" t="str">
        <f>AND('Conciliación Bancaria'!I11,"AAAAAF7/zYc=")</f>
        <v>#VALUE!</v>
      </c>
      <c r="EG1" s="66" t="str">
        <f>AND('Conciliación Bancaria'!J11,"AAAAAF7/zYg=")</f>
        <v>#VALUE!</v>
      </c>
      <c r="EH1" s="66" t="str">
        <f>AND('Conciliación Bancaria'!K11,"AAAAAF7/zYk=")</f>
        <v>#VALUE!</v>
      </c>
      <c r="EI1" s="66" t="str">
        <f>AND('Conciliación Bancaria'!L11,"AAAAAF7/zYo=")</f>
        <v>#VALUE!</v>
      </c>
      <c r="EJ1" s="66" t="str">
        <f>AND('Conciliación Bancaria'!M11,"AAAAAF7/zYs=")</f>
        <v>#VALUE!</v>
      </c>
      <c r="EK1" s="66" t="str">
        <f>IF('Conciliación Bancaria'!$A12:$IU12,"AAAAAF7/zYw=",0)</f>
        <v>#VALUE!</v>
      </c>
      <c r="EL1" s="66" t="str">
        <f>AND('Conciliación Bancaria'!A12,"AAAAAF7/zY0=")</f>
        <v>#VALUE!</v>
      </c>
      <c r="EM1" s="66" t="str">
        <f>AND('Conciliación Bancaria'!B12,"AAAAAF7/zY4=")</f>
        <v>#VALUE!</v>
      </c>
      <c r="EN1" s="66" t="str">
        <f>AND('Conciliación Bancaria'!C12,"AAAAAF7/zY8=")</f>
        <v>#VALUE!</v>
      </c>
      <c r="EO1" s="66" t="str">
        <f>AND('Conciliación Bancaria'!D12,"AAAAAF7/zZA=")</f>
        <v>#VALUE!</v>
      </c>
      <c r="EP1" s="66" t="str">
        <f>AND('Conciliación Bancaria'!E12,"AAAAAF7/zZE=")</f>
        <v>#VALUE!</v>
      </c>
      <c r="EQ1" s="66" t="str">
        <f>AND('Conciliación Bancaria'!F12,"AAAAAF7/zZI=")</f>
        <v>#VALUE!</v>
      </c>
      <c r="ER1" s="66" t="str">
        <f>AND('Conciliación Bancaria'!G12,"AAAAAF7/zZM=")</f>
        <v>#VALUE!</v>
      </c>
      <c r="ES1" s="66" t="str">
        <f>AND('Conciliación Bancaria'!H12,"AAAAAF7/zZQ=")</f>
        <v>#VALUE!</v>
      </c>
      <c r="ET1" s="66" t="str">
        <f>AND('Conciliación Bancaria'!I12,"AAAAAF7/zZU=")</f>
        <v>#VALUE!</v>
      </c>
      <c r="EU1" s="66" t="str">
        <f>AND('Conciliación Bancaria'!J12,"AAAAAF7/zZY=")</f>
        <v>#VALUE!</v>
      </c>
      <c r="EV1" s="66" t="str">
        <f>AND('Conciliación Bancaria'!K12,"AAAAAF7/zZc=")</f>
        <v>#VALUE!</v>
      </c>
      <c r="EW1" s="66" t="str">
        <f>AND('Conciliación Bancaria'!L12,"AAAAAF7/zZg=")</f>
        <v>#VALUE!</v>
      </c>
      <c r="EX1" s="66" t="str">
        <f>AND('Conciliación Bancaria'!M12,"AAAAAF7/zZk=")</f>
        <v>#VALUE!</v>
      </c>
      <c r="EY1" s="66" t="str">
        <f>IF('Conciliación Bancaria'!#REF!,"AAAAAF7/zZo=",0)</f>
        <v>#ERROR!</v>
      </c>
      <c r="EZ1" s="66" t="str">
        <f>AND('Conciliación Bancaria'!#REF!,"AAAAAF7/zZs=")</f>
        <v>#ERROR!</v>
      </c>
      <c r="FA1" s="66" t="str">
        <f>AND('Conciliación Bancaria'!#REF!,"AAAAAF7/zZw=")</f>
        <v>#ERROR!</v>
      </c>
      <c r="FB1" s="66" t="str">
        <f>AND('Conciliación Bancaria'!#REF!,"AAAAAF7/zZ0=")</f>
        <v>#ERROR!</v>
      </c>
      <c r="FC1" s="66" t="str">
        <f>AND('Conciliación Bancaria'!#REF!,"AAAAAF7/zZ4=")</f>
        <v>#ERROR!</v>
      </c>
      <c r="FD1" s="66" t="str">
        <f>AND('Conciliación Bancaria'!#REF!,"AAAAAF7/zZ8=")</f>
        <v>#ERROR!</v>
      </c>
      <c r="FE1" s="66" t="str">
        <f>AND('Conciliación Bancaria'!#REF!,"AAAAAF7/zaA=")</f>
        <v>#ERROR!</v>
      </c>
      <c r="FF1" s="66" t="str">
        <f>AND('Conciliación Bancaria'!#REF!,"AAAAAF7/zaE=")</f>
        <v>#ERROR!</v>
      </c>
      <c r="FG1" s="66" t="str">
        <f>AND('Conciliación Bancaria'!#REF!,"AAAAAF7/zaI=")</f>
        <v>#ERROR!</v>
      </c>
      <c r="FH1" s="66" t="str">
        <f>AND('Conciliación Bancaria'!#REF!,"AAAAAF7/zaM=")</f>
        <v>#ERROR!</v>
      </c>
      <c r="FI1" s="66" t="str">
        <f>AND('Conciliación Bancaria'!#REF!,"AAAAAF7/zaQ=")</f>
        <v>#ERROR!</v>
      </c>
      <c r="FJ1" s="66" t="str">
        <f>AND('Conciliación Bancaria'!#REF!,"AAAAAF7/zaU=")</f>
        <v>#ERROR!</v>
      </c>
      <c r="FK1" s="66" t="str">
        <f>AND('Conciliación Bancaria'!#REF!,"AAAAAF7/zaY=")</f>
        <v>#ERROR!</v>
      </c>
      <c r="FL1" s="66" t="str">
        <f>AND('Conciliación Bancaria'!#REF!,"AAAAAF7/zac=")</f>
        <v>#ERROR!</v>
      </c>
      <c r="FM1" s="66" t="str">
        <f>IF('Conciliación Bancaria'!#REF!,"AAAAAF7/zag=",0)</f>
        <v>#ERROR!</v>
      </c>
      <c r="FN1" s="66" t="str">
        <f>AND('Conciliación Bancaria'!#REF!,"AAAAAF7/zak=")</f>
        <v>#ERROR!</v>
      </c>
      <c r="FO1" s="66" t="str">
        <f>AND('Conciliación Bancaria'!#REF!,"AAAAAF7/zao=")</f>
        <v>#ERROR!</v>
      </c>
      <c r="FP1" s="66" t="str">
        <f>AND('Conciliación Bancaria'!#REF!,"AAAAAF7/zas=")</f>
        <v>#ERROR!</v>
      </c>
      <c r="FQ1" s="66" t="str">
        <f>AND('Conciliación Bancaria'!#REF!,"AAAAAF7/zaw=")</f>
        <v>#ERROR!</v>
      </c>
      <c r="FR1" s="66" t="str">
        <f>AND('Conciliación Bancaria'!#REF!,"AAAAAF7/za0=")</f>
        <v>#ERROR!</v>
      </c>
      <c r="FS1" s="66" t="str">
        <f>AND('Conciliación Bancaria'!#REF!,"AAAAAF7/za4=")</f>
        <v>#ERROR!</v>
      </c>
      <c r="FT1" s="66" t="str">
        <f>AND('Conciliación Bancaria'!#REF!,"AAAAAF7/za8=")</f>
        <v>#ERROR!</v>
      </c>
      <c r="FU1" s="66" t="str">
        <f>AND('Conciliación Bancaria'!#REF!,"AAAAAF7/zbA=")</f>
        <v>#ERROR!</v>
      </c>
      <c r="FV1" s="66" t="str">
        <f>AND('Conciliación Bancaria'!#REF!,"AAAAAF7/zbE=")</f>
        <v>#ERROR!</v>
      </c>
      <c r="FW1" s="66" t="str">
        <f>AND('Conciliación Bancaria'!#REF!,"AAAAAF7/zbI=")</f>
        <v>#ERROR!</v>
      </c>
      <c r="FX1" s="66" t="str">
        <f>AND('Conciliación Bancaria'!#REF!,"AAAAAF7/zbM=")</f>
        <v>#ERROR!</v>
      </c>
      <c r="FY1" s="66" t="str">
        <f>AND('Conciliación Bancaria'!#REF!,"AAAAAF7/zbQ=")</f>
        <v>#ERROR!</v>
      </c>
      <c r="FZ1" s="66" t="str">
        <f>AND('Conciliación Bancaria'!#REF!,"AAAAAF7/zbU=")</f>
        <v>#ERROR!</v>
      </c>
      <c r="GA1" s="66" t="str">
        <f>IF('Conciliación Bancaria'!#REF!,"AAAAAF7/zbY=",0)</f>
        <v>#ERROR!</v>
      </c>
      <c r="GB1" s="66" t="str">
        <f>AND('Conciliación Bancaria'!#REF!,"AAAAAF7/zbc=")</f>
        <v>#ERROR!</v>
      </c>
      <c r="GC1" s="66" t="str">
        <f>AND('Conciliación Bancaria'!#REF!,"AAAAAF7/zbg=")</f>
        <v>#ERROR!</v>
      </c>
      <c r="GD1" s="66" t="str">
        <f>AND('Conciliación Bancaria'!#REF!,"AAAAAF7/zbk=")</f>
        <v>#ERROR!</v>
      </c>
      <c r="GE1" s="66" t="str">
        <f>AND('Conciliación Bancaria'!#REF!,"AAAAAF7/zbo=")</f>
        <v>#ERROR!</v>
      </c>
      <c r="GF1" s="66" t="str">
        <f>AND('Conciliación Bancaria'!#REF!,"AAAAAF7/zbs=")</f>
        <v>#ERROR!</v>
      </c>
      <c r="GG1" s="66" t="str">
        <f>AND('Conciliación Bancaria'!#REF!,"AAAAAF7/zbw=")</f>
        <v>#ERROR!</v>
      </c>
      <c r="GH1" s="66" t="str">
        <f>AND('Conciliación Bancaria'!#REF!,"AAAAAF7/zb0=")</f>
        <v>#ERROR!</v>
      </c>
      <c r="GI1" s="66" t="str">
        <f>AND('Conciliación Bancaria'!#REF!,"AAAAAF7/zb4=")</f>
        <v>#ERROR!</v>
      </c>
      <c r="GJ1" s="66" t="str">
        <f>AND('Conciliación Bancaria'!#REF!,"AAAAAF7/zb8=")</f>
        <v>#ERROR!</v>
      </c>
      <c r="GK1" s="66" t="str">
        <f>AND('Conciliación Bancaria'!#REF!,"AAAAAF7/zcA=")</f>
        <v>#ERROR!</v>
      </c>
      <c r="GL1" s="66" t="str">
        <f>AND('Conciliación Bancaria'!#REF!,"AAAAAF7/zcE=")</f>
        <v>#ERROR!</v>
      </c>
      <c r="GM1" s="66" t="str">
        <f>AND('Conciliación Bancaria'!#REF!,"AAAAAF7/zcI=")</f>
        <v>#ERROR!</v>
      </c>
      <c r="GN1" s="66" t="str">
        <f>AND('Conciliación Bancaria'!#REF!,"AAAAAF7/zcM=")</f>
        <v>#ERROR!</v>
      </c>
      <c r="GO1" s="66" t="str">
        <f>IF('Conciliación Bancaria'!$A13:$IU13,"AAAAAF7/zcQ=",0)</f>
        <v>#VALUE!</v>
      </c>
      <c r="GP1" s="66" t="str">
        <f>AND('Conciliación Bancaria'!A13,"AAAAAF7/zcU=")</f>
        <v>#VALUE!</v>
      </c>
      <c r="GQ1" s="66" t="str">
        <f>AND('Conciliación Bancaria'!B13,"AAAAAF7/zcY=")</f>
        <v>#VALUE!</v>
      </c>
      <c r="GR1" s="66" t="str">
        <f>AND('Conciliación Bancaria'!C13,"AAAAAF7/zcc=")</f>
        <v>#VALUE!</v>
      </c>
      <c r="GS1" s="66" t="str">
        <f>AND('Conciliación Bancaria'!D13,"AAAAAF7/zcg=")</f>
        <v>#VALUE!</v>
      </c>
      <c r="GT1" s="66" t="str">
        <f>AND('Conciliación Bancaria'!E13,"AAAAAF7/zck=")</f>
        <v>#VALUE!</v>
      </c>
      <c r="GU1" s="66" t="str">
        <f>AND('Conciliación Bancaria'!F13,"AAAAAF7/zco=")</f>
        <v>#VALUE!</v>
      </c>
      <c r="GV1" s="66" t="str">
        <f>AND('Conciliación Bancaria'!G13,"AAAAAF7/zcs=")</f>
        <v>#VALUE!</v>
      </c>
      <c r="GW1" s="66" t="str">
        <f>AND('Conciliación Bancaria'!H13,"AAAAAF7/zcw=")</f>
        <v>#VALUE!</v>
      </c>
      <c r="GX1" s="66" t="str">
        <f>AND('Conciliación Bancaria'!I13,"AAAAAF7/zc0=")</f>
        <v>#VALUE!</v>
      </c>
      <c r="GY1" s="66" t="str">
        <f>AND('Conciliación Bancaria'!J13,"AAAAAF7/zc4=")</f>
        <v>#VALUE!</v>
      </c>
      <c r="GZ1" s="66" t="str">
        <f>AND('Conciliación Bancaria'!K13,"AAAAAF7/zc8=")</f>
        <v>#VALUE!</v>
      </c>
      <c r="HA1" s="66" t="str">
        <f>AND('Conciliación Bancaria'!L13,"AAAAAF7/zdA=")</f>
        <v>#VALUE!</v>
      </c>
      <c r="HB1" s="66" t="str">
        <f>AND('Conciliación Bancaria'!M13,"AAAAAF7/zdE=")</f>
        <v>#VALUE!</v>
      </c>
      <c r="HC1" s="66" t="str">
        <f>IF('Conciliación Bancaria'!$A14:$IU14,"AAAAAF7/zdI=",0)</f>
        <v>#VALUE!</v>
      </c>
      <c r="HD1" s="66" t="str">
        <f>AND('Conciliación Bancaria'!A14,"AAAAAF7/zdM=")</f>
        <v>#VALUE!</v>
      </c>
      <c r="HE1" s="66" t="str">
        <f>AND('Conciliación Bancaria'!B14,"AAAAAF7/zdQ=")</f>
        <v>#VALUE!</v>
      </c>
      <c r="HF1" s="66" t="str">
        <f>AND('Conciliación Bancaria'!C14,"AAAAAF7/zdU=")</f>
        <v>#VALUE!</v>
      </c>
      <c r="HG1" s="66" t="str">
        <f>AND('Conciliación Bancaria'!D14,"AAAAAF7/zdY=")</f>
        <v>#VALUE!</v>
      </c>
      <c r="HH1" s="66" t="str">
        <f>AND('Conciliación Bancaria'!E14,"AAAAAF7/zdc=")</f>
        <v>#VALUE!</v>
      </c>
      <c r="HI1" s="66" t="str">
        <f>AND('Conciliación Bancaria'!F14,"AAAAAF7/zdg=")</f>
        <v>#VALUE!</v>
      </c>
      <c r="HJ1" s="66" t="str">
        <f>AND('Conciliación Bancaria'!G14,"AAAAAF7/zdk=")</f>
        <v>#VALUE!</v>
      </c>
      <c r="HK1" s="66" t="str">
        <f>AND('Conciliación Bancaria'!H14,"AAAAAF7/zdo=")</f>
        <v>#VALUE!</v>
      </c>
      <c r="HL1" s="66" t="str">
        <f>AND('Conciliación Bancaria'!I14,"AAAAAF7/zds=")</f>
        <v>#VALUE!</v>
      </c>
      <c r="HM1" s="66" t="str">
        <f>AND('Conciliación Bancaria'!J14,"AAAAAF7/zdw=")</f>
        <v>#VALUE!</v>
      </c>
      <c r="HN1" s="66" t="str">
        <f>AND('Conciliación Bancaria'!K14,"AAAAAF7/zd0=")</f>
        <v>#VALUE!</v>
      </c>
      <c r="HO1" s="66" t="str">
        <f>AND('Conciliación Bancaria'!L14,"AAAAAF7/zd4=")</f>
        <v>#VALUE!</v>
      </c>
      <c r="HP1" s="66" t="str">
        <f>AND('Conciliación Bancaria'!M14,"AAAAAF7/zd8=")</f>
        <v>#VALUE!</v>
      </c>
      <c r="HQ1" s="66" t="str">
        <f>IF('Conciliación Bancaria'!$A15:$IU15,"AAAAAF7/zeA=",0)</f>
        <v>#VALUE!</v>
      </c>
      <c r="HR1" s="66" t="str">
        <f>AND('Conciliación Bancaria'!A15,"AAAAAF7/zeE=")</f>
        <v>#VALUE!</v>
      </c>
      <c r="HS1" s="66" t="str">
        <f>AND('Conciliación Bancaria'!B15,"AAAAAF7/zeI=")</f>
        <v>#VALUE!</v>
      </c>
      <c r="HT1" s="66" t="str">
        <f>AND('Conciliación Bancaria'!C15,"AAAAAF7/zeM=")</f>
        <v>#VALUE!</v>
      </c>
      <c r="HU1" s="66" t="str">
        <f>AND('Conciliación Bancaria'!D15,"AAAAAF7/zeQ=")</f>
        <v>#VALUE!</v>
      </c>
      <c r="HV1" s="66" t="str">
        <f>AND('Conciliación Bancaria'!E15,"AAAAAF7/zeU=")</f>
        <v>#VALUE!</v>
      </c>
      <c r="HW1" s="66" t="str">
        <f>AND('Conciliación Bancaria'!F15,"AAAAAF7/zeY=")</f>
        <v>#VALUE!</v>
      </c>
      <c r="HX1" s="66" t="str">
        <f>AND('Conciliación Bancaria'!G15,"AAAAAF7/zec=")</f>
        <v>#VALUE!</v>
      </c>
      <c r="HY1" s="66" t="str">
        <f>AND('Conciliación Bancaria'!H15,"AAAAAF7/zeg=")</f>
        <v>#VALUE!</v>
      </c>
      <c r="HZ1" s="66" t="str">
        <f>AND('Conciliación Bancaria'!I15,"AAAAAF7/zek=")</f>
        <v>#VALUE!</v>
      </c>
      <c r="IA1" s="66" t="str">
        <f>AND('Conciliación Bancaria'!J15,"AAAAAF7/zeo=")</f>
        <v>#VALUE!</v>
      </c>
      <c r="IB1" s="66" t="str">
        <f>AND('Conciliación Bancaria'!K15,"AAAAAF7/zes=")</f>
        <v>#VALUE!</v>
      </c>
      <c r="IC1" s="66" t="str">
        <f>AND('Conciliación Bancaria'!L15,"AAAAAF7/zew=")</f>
        <v>#VALUE!</v>
      </c>
      <c r="ID1" s="66" t="str">
        <f>AND('Conciliación Bancaria'!M15,"AAAAAF7/ze0=")</f>
        <v>#VALUE!</v>
      </c>
      <c r="IE1" s="66" t="str">
        <f>IF('Conciliación Bancaria'!$A16:$IU16,"AAAAAF7/ze4=",0)</f>
        <v>#VALUE!</v>
      </c>
      <c r="IF1" s="66" t="str">
        <f>AND('Conciliación Bancaria'!A16,"AAAAAF7/ze8=")</f>
        <v>#VALUE!</v>
      </c>
      <c r="IG1" s="66" t="str">
        <f>AND('Conciliación Bancaria'!B16,"AAAAAF7/zfA=")</f>
        <v>#VALUE!</v>
      </c>
      <c r="IH1" s="66" t="str">
        <f>AND('Conciliación Bancaria'!C16,"AAAAAF7/zfE=")</f>
        <v>#VALUE!</v>
      </c>
      <c r="II1" s="66" t="str">
        <f>AND('Conciliación Bancaria'!D16,"AAAAAF7/zfI=")</f>
        <v>#VALUE!</v>
      </c>
      <c r="IJ1" s="66" t="str">
        <f>AND('Conciliación Bancaria'!E16,"AAAAAF7/zfM=")</f>
        <v>#VALUE!</v>
      </c>
      <c r="IK1" s="66" t="str">
        <f>AND('Conciliación Bancaria'!F16,"AAAAAF7/zfQ=")</f>
        <v>#VALUE!</v>
      </c>
      <c r="IL1" s="66" t="str">
        <f>AND('Conciliación Bancaria'!G16,"AAAAAF7/zfU=")</f>
        <v>#VALUE!</v>
      </c>
      <c r="IM1" s="66" t="str">
        <f>AND('Conciliación Bancaria'!H16,"AAAAAF7/zfY=")</f>
        <v>#VALUE!</v>
      </c>
      <c r="IN1" s="66" t="str">
        <f>AND('Conciliación Bancaria'!I16,"AAAAAF7/zfc=")</f>
        <v>#VALUE!</v>
      </c>
      <c r="IO1" s="66" t="str">
        <f>AND('Conciliación Bancaria'!J16,"AAAAAF7/zfg=")</f>
        <v>#VALUE!</v>
      </c>
      <c r="IP1" s="66" t="str">
        <f>AND('Conciliación Bancaria'!K16,"AAAAAF7/zfk=")</f>
        <v>#VALUE!</v>
      </c>
      <c r="IQ1" s="66" t="str">
        <f>AND('Conciliación Bancaria'!L16,"AAAAAF7/zfo=")</f>
        <v>#VALUE!</v>
      </c>
      <c r="IR1" s="66" t="str">
        <f>AND('Conciliación Bancaria'!M16,"AAAAAF7/zfs=")</f>
        <v>#VALUE!</v>
      </c>
      <c r="IS1" s="66" t="str">
        <f>IF('Conciliación Bancaria'!$A17:$IU17,"AAAAAF7/zfw=",0)</f>
        <v>#VALUE!</v>
      </c>
      <c r="IT1" s="66" t="str">
        <f>AND('Conciliación Bancaria'!A17,"AAAAAF7/zf0=")</f>
        <v>#VALUE!</v>
      </c>
      <c r="IU1" s="66" t="str">
        <f>AND('Conciliación Bancaria'!B17,"AAAAAF7/zf4=")</f>
        <v>#VALUE!</v>
      </c>
      <c r="IV1" s="66" t="str">
        <f>AND('Conciliación Bancaria'!C17,"AAAAAF7/zf8=")</f>
        <v>#VALUE!</v>
      </c>
    </row>
    <row r="2" ht="12.75" customHeight="1">
      <c r="A2" s="66" t="str">
        <f>AND('Conciliación Bancaria'!D17,"AAAAAG7v3wA=")</f>
        <v>#VALUE!</v>
      </c>
      <c r="B2" s="66" t="str">
        <f>AND('Conciliación Bancaria'!E17,"AAAAAG7v3wE=")</f>
        <v>#VALUE!</v>
      </c>
      <c r="C2" s="66" t="str">
        <f>AND('Conciliación Bancaria'!F17,"AAAAAG7v3wI=")</f>
        <v>#VALUE!</v>
      </c>
      <c r="D2" s="66" t="str">
        <f>AND('Conciliación Bancaria'!G17,"AAAAAG7v3wM=")</f>
        <v>#VALUE!</v>
      </c>
      <c r="E2" s="66" t="str">
        <f>AND('Conciliación Bancaria'!H17,"AAAAAG7v3wQ=")</f>
        <v>#VALUE!</v>
      </c>
      <c r="F2" s="66" t="str">
        <f>AND('Conciliación Bancaria'!I17,"AAAAAG7v3wU=")</f>
        <v>#VALUE!</v>
      </c>
      <c r="G2" s="66" t="str">
        <f>AND('Conciliación Bancaria'!J17,"AAAAAG7v3wY=")</f>
        <v>#VALUE!</v>
      </c>
      <c r="H2" s="66" t="str">
        <f>AND('Conciliación Bancaria'!K17,"AAAAAG7v3wc=")</f>
        <v>#VALUE!</v>
      </c>
      <c r="I2" s="66" t="str">
        <f>AND('Conciliación Bancaria'!L17,"AAAAAG7v3wg=")</f>
        <v>#VALUE!</v>
      </c>
      <c r="J2" s="66" t="str">
        <f>AND('Conciliación Bancaria'!M17,"AAAAAG7v3wk=")</f>
        <v>#VALUE!</v>
      </c>
      <c r="K2" s="66">
        <f>IF('Conciliación Bancaria'!$A18:$IU18,"AAAAAG7v3wo=",0)</f>
        <v>0</v>
      </c>
      <c r="L2" s="66" t="str">
        <f>AND('Conciliación Bancaria'!A18,"AAAAAG7v3ws=")</f>
        <v>#VALUE!</v>
      </c>
      <c r="M2" s="66" t="str">
        <f>AND('Conciliación Bancaria'!B18,"AAAAAG7v3ww=")</f>
        <v>#VALUE!</v>
      </c>
      <c r="N2" s="66" t="str">
        <f>AND('Conciliación Bancaria'!C18,"AAAAAG7v3w0=")</f>
        <v>#VALUE!</v>
      </c>
      <c r="O2" s="66" t="str">
        <f>AND('Conciliación Bancaria'!D18,"AAAAAG7v3w4=")</f>
        <v>#VALUE!</v>
      </c>
      <c r="P2" s="66" t="str">
        <f>AND('Conciliación Bancaria'!E18,"AAAAAG7v3w8=")</f>
        <v>#VALUE!</v>
      </c>
      <c r="Q2" s="66" t="str">
        <f>AND('Conciliación Bancaria'!F18,"AAAAAG7v3xA=")</f>
        <v>#VALUE!</v>
      </c>
      <c r="R2" s="66" t="str">
        <f>AND('Conciliación Bancaria'!G18,"AAAAAG7v3xE=")</f>
        <v>#VALUE!</v>
      </c>
      <c r="S2" s="66" t="str">
        <f>AND('Conciliación Bancaria'!H18,"AAAAAG7v3xI=")</f>
        <v>#VALUE!</v>
      </c>
      <c r="T2" s="66" t="str">
        <f>AND('Conciliación Bancaria'!I18,"AAAAAG7v3xM=")</f>
        <v>#VALUE!</v>
      </c>
      <c r="U2" s="66" t="str">
        <f>AND('Conciliación Bancaria'!J18,"AAAAAG7v3xQ=")</f>
        <v>#VALUE!</v>
      </c>
      <c r="V2" s="66" t="str">
        <f>AND('Conciliación Bancaria'!K18,"AAAAAG7v3xU=")</f>
        <v>#VALUE!</v>
      </c>
      <c r="W2" s="66" t="str">
        <f>AND('Conciliación Bancaria'!L18,"AAAAAG7v3xY=")</f>
        <v>#VALUE!</v>
      </c>
      <c r="X2" s="66" t="str">
        <f>AND('Conciliación Bancaria'!M18,"AAAAAG7v3xc=")</f>
        <v>#VALUE!</v>
      </c>
      <c r="Y2" s="66">
        <f>IF('Conciliación Bancaria'!$A19:$IU19,"AAAAAG7v3xg=",0)</f>
        <v>0</v>
      </c>
      <c r="Z2" s="66" t="str">
        <f>AND('Conciliación Bancaria'!A19,"AAAAAG7v3xk=")</f>
        <v>#VALUE!</v>
      </c>
      <c r="AA2" s="66" t="str">
        <f>AND('Conciliación Bancaria'!B19,"AAAAAG7v3xo=")</f>
        <v>#VALUE!</v>
      </c>
      <c r="AB2" s="66" t="str">
        <f>AND('Conciliación Bancaria'!C19,"AAAAAG7v3xs=")</f>
        <v>#VALUE!</v>
      </c>
      <c r="AC2" s="66" t="str">
        <f>AND('Conciliación Bancaria'!D19,"AAAAAG7v3xw=")</f>
        <v>#VALUE!</v>
      </c>
      <c r="AD2" s="66" t="str">
        <f>AND('Conciliación Bancaria'!E19,"AAAAAG7v3x0=")</f>
        <v>#VALUE!</v>
      </c>
      <c r="AE2" s="66" t="str">
        <f>AND('Conciliación Bancaria'!F19,"AAAAAG7v3x4=")</f>
        <v>#VALUE!</v>
      </c>
      <c r="AF2" s="66" t="str">
        <f>AND('Conciliación Bancaria'!G19,"AAAAAG7v3x8=")</f>
        <v>#VALUE!</v>
      </c>
      <c r="AG2" s="66" t="str">
        <f>AND('Conciliación Bancaria'!H19,"AAAAAG7v3yA=")</f>
        <v>#VALUE!</v>
      </c>
      <c r="AH2" s="66" t="str">
        <f>AND('Conciliación Bancaria'!I19,"AAAAAG7v3yE=")</f>
        <v>#VALUE!</v>
      </c>
      <c r="AI2" s="66" t="str">
        <f>AND('Conciliación Bancaria'!J19,"AAAAAG7v3yI=")</f>
        <v>#VALUE!</v>
      </c>
      <c r="AJ2" s="66" t="str">
        <f>AND('Conciliación Bancaria'!K19,"AAAAAG7v3yM=")</f>
        <v>#VALUE!</v>
      </c>
      <c r="AK2" s="66" t="str">
        <f>AND('Conciliación Bancaria'!L19,"AAAAAG7v3yQ=")</f>
        <v>#VALUE!</v>
      </c>
      <c r="AL2" s="66" t="str">
        <f>AND('Conciliación Bancaria'!M19,"AAAAAG7v3yU=")</f>
        <v>#VALUE!</v>
      </c>
      <c r="AM2" s="66" t="str">
        <f>IF('Conciliación Bancaria'!$A20:$IU20,"AAAAAG7v3yY=",0)</f>
        <v>#VALUE!</v>
      </c>
      <c r="AN2" s="66" t="str">
        <f>AND('Conciliación Bancaria'!A20,"AAAAAG7v3yc=")</f>
        <v>#VALUE!</v>
      </c>
      <c r="AO2" s="66" t="str">
        <f>AND('Conciliación Bancaria'!B20,"AAAAAG7v3yg=")</f>
        <v>#VALUE!</v>
      </c>
      <c r="AP2" s="66" t="str">
        <f>AND('Conciliación Bancaria'!C20,"AAAAAG7v3yk=")</f>
        <v>#VALUE!</v>
      </c>
      <c r="AQ2" s="66" t="str">
        <f>AND('Conciliación Bancaria'!D20,"AAAAAG7v3yo=")</f>
        <v>#VALUE!</v>
      </c>
      <c r="AR2" s="66" t="str">
        <f>AND('Conciliación Bancaria'!E20,"AAAAAG7v3ys=")</f>
        <v>#VALUE!</v>
      </c>
      <c r="AS2" s="66" t="str">
        <f>AND('Conciliación Bancaria'!F20,"AAAAAG7v3yw=")</f>
        <v>#VALUE!</v>
      </c>
      <c r="AT2" s="66" t="str">
        <f>AND('Conciliación Bancaria'!G20,"AAAAAG7v3y0=")</f>
        <v>#VALUE!</v>
      </c>
      <c r="AU2" s="66" t="str">
        <f>AND('Conciliación Bancaria'!H20,"AAAAAG7v3y4=")</f>
        <v>#VALUE!</v>
      </c>
      <c r="AV2" s="66" t="str">
        <f>AND('Conciliación Bancaria'!I20,"AAAAAG7v3y8=")</f>
        <v>#VALUE!</v>
      </c>
      <c r="AW2" s="66" t="str">
        <f>AND('Conciliación Bancaria'!J20,"AAAAAG7v3zA=")</f>
        <v>#VALUE!</v>
      </c>
      <c r="AX2" s="66" t="str">
        <f>AND('Conciliación Bancaria'!K20,"AAAAAG7v3zE=")</f>
        <v>#VALUE!</v>
      </c>
      <c r="AY2" s="66" t="str">
        <f>AND('Conciliación Bancaria'!L20,"AAAAAG7v3zI=")</f>
        <v>#VALUE!</v>
      </c>
      <c r="AZ2" s="66" t="str">
        <f>AND('Conciliación Bancaria'!M20,"AAAAAG7v3zM=")</f>
        <v>#VALUE!</v>
      </c>
      <c r="BA2" s="66" t="str">
        <f>IF('Conciliación Bancaria'!$A21:$IU21,"AAAAAG7v3zQ=",0)</f>
        <v>#VALUE!</v>
      </c>
      <c r="BB2" s="66" t="str">
        <f>AND('Conciliación Bancaria'!A21,"AAAAAG7v3zU=")</f>
        <v>#VALUE!</v>
      </c>
      <c r="BC2" s="66" t="str">
        <f>AND('Conciliación Bancaria'!B21,"AAAAAG7v3zY=")</f>
        <v>#VALUE!</v>
      </c>
      <c r="BD2" s="66" t="str">
        <f>AND('Conciliación Bancaria'!C21,"AAAAAG7v3zc=")</f>
        <v>#VALUE!</v>
      </c>
      <c r="BE2" s="66" t="str">
        <f>AND('Conciliación Bancaria'!D21,"AAAAAG7v3zg=")</f>
        <v>#VALUE!</v>
      </c>
      <c r="BF2" s="66" t="str">
        <f>AND('Conciliación Bancaria'!E21,"AAAAAG7v3zk=")</f>
        <v>#VALUE!</v>
      </c>
      <c r="BG2" s="66" t="str">
        <f>AND('Conciliación Bancaria'!F21,"AAAAAG7v3zo=")</f>
        <v>#VALUE!</v>
      </c>
      <c r="BH2" s="66" t="str">
        <f>AND('Conciliación Bancaria'!G21,"AAAAAG7v3zs=")</f>
        <v>#VALUE!</v>
      </c>
      <c r="BI2" s="66" t="str">
        <f>AND('Conciliación Bancaria'!H21,"AAAAAG7v3zw=")</f>
        <v>#VALUE!</v>
      </c>
      <c r="BJ2" s="66" t="str">
        <f>AND('Conciliación Bancaria'!I21,"AAAAAG7v3z0=")</f>
        <v>#VALUE!</v>
      </c>
      <c r="BK2" s="66" t="str">
        <f>AND('Conciliación Bancaria'!J21,"AAAAAG7v3z4=")</f>
        <v>#VALUE!</v>
      </c>
      <c r="BL2" s="66" t="str">
        <f>AND('Conciliación Bancaria'!K21,"AAAAAG7v3z8=")</f>
        <v>#VALUE!</v>
      </c>
      <c r="BM2" s="66" t="str">
        <f>AND('Conciliación Bancaria'!L21,"AAAAAG7v30A=")</f>
        <v>#VALUE!</v>
      </c>
      <c r="BN2" s="66" t="str">
        <f>AND('Conciliación Bancaria'!M21,"AAAAAG7v30E=")</f>
        <v>#VALUE!</v>
      </c>
      <c r="BO2" s="66" t="str">
        <f>IF('Conciliación Bancaria'!$A22:$IU22,"AAAAAG7v30I=",0)</f>
        <v>#VALUE!</v>
      </c>
      <c r="BP2" s="66" t="str">
        <f>AND('Conciliación Bancaria'!A22,"AAAAAG7v30M=")</f>
        <v>#VALUE!</v>
      </c>
      <c r="BQ2" s="66" t="str">
        <f>AND('Conciliación Bancaria'!B22,"AAAAAG7v30Q=")</f>
        <v>#VALUE!</v>
      </c>
      <c r="BR2" s="66" t="str">
        <f>AND('Conciliación Bancaria'!C22,"AAAAAG7v30U=")</f>
        <v>#VALUE!</v>
      </c>
      <c r="BS2" s="66" t="str">
        <f>AND('Conciliación Bancaria'!D22,"AAAAAG7v30Y=")</f>
        <v>#VALUE!</v>
      </c>
      <c r="BT2" s="66" t="str">
        <f>AND('Conciliación Bancaria'!E22,"AAAAAG7v30c=")</f>
        <v>#VALUE!</v>
      </c>
      <c r="BU2" s="66" t="str">
        <f>AND('Conciliación Bancaria'!F22,"AAAAAG7v30g=")</f>
        <v>#VALUE!</v>
      </c>
      <c r="BV2" s="66" t="str">
        <f>AND('Conciliación Bancaria'!G22,"AAAAAG7v30k=")</f>
        <v>#VALUE!</v>
      </c>
      <c r="BW2" s="66" t="str">
        <f>AND('Conciliación Bancaria'!H22,"AAAAAG7v30o=")</f>
        <v>#VALUE!</v>
      </c>
      <c r="BX2" s="66" t="str">
        <f>AND('Conciliación Bancaria'!I22,"AAAAAG7v30s=")</f>
        <v>#VALUE!</v>
      </c>
      <c r="BY2" s="66" t="str">
        <f>AND('Conciliación Bancaria'!J22,"AAAAAG7v30w=")</f>
        <v>#VALUE!</v>
      </c>
      <c r="BZ2" s="66" t="str">
        <f>AND('Conciliación Bancaria'!K22,"AAAAAG7v300=")</f>
        <v>#VALUE!</v>
      </c>
      <c r="CA2" s="66" t="str">
        <f>AND('Conciliación Bancaria'!L22,"AAAAAG7v304=")</f>
        <v>#VALUE!</v>
      </c>
      <c r="CB2" s="66" t="str">
        <f>AND('Conciliación Bancaria'!M22,"AAAAAG7v308=")</f>
        <v>#VALUE!</v>
      </c>
      <c r="CC2" s="66" t="str">
        <f>IF('Conciliación Bancaria'!$A23:$IU23,"AAAAAG7v31A=",0)</f>
        <v>#VALUE!</v>
      </c>
      <c r="CD2" s="66" t="str">
        <f>AND('Conciliación Bancaria'!A23,"AAAAAG7v31E=")</f>
        <v>#VALUE!</v>
      </c>
      <c r="CE2" s="66" t="str">
        <f>AND('Conciliación Bancaria'!B23,"AAAAAG7v31I=")</f>
        <v>#VALUE!</v>
      </c>
      <c r="CF2" s="66" t="str">
        <f>AND('Conciliación Bancaria'!C23,"AAAAAG7v31M=")</f>
        <v>#VALUE!</v>
      </c>
      <c r="CG2" s="66" t="str">
        <f>AND('Conciliación Bancaria'!D23,"AAAAAG7v31Q=")</f>
        <v>#VALUE!</v>
      </c>
      <c r="CH2" s="66" t="str">
        <f>AND('Conciliación Bancaria'!E23,"AAAAAG7v31U=")</f>
        <v>#VALUE!</v>
      </c>
      <c r="CI2" s="66" t="str">
        <f>AND('Conciliación Bancaria'!F23,"AAAAAG7v31Y=")</f>
        <v>#VALUE!</v>
      </c>
      <c r="CJ2" s="66" t="str">
        <f>AND('Conciliación Bancaria'!G23,"AAAAAG7v31c=")</f>
        <v>#VALUE!</v>
      </c>
      <c r="CK2" s="66" t="str">
        <f>AND('Conciliación Bancaria'!H23,"AAAAAG7v31g=")</f>
        <v>#VALUE!</v>
      </c>
      <c r="CL2" s="66" t="str">
        <f>AND('Conciliación Bancaria'!I23,"AAAAAG7v31k=")</f>
        <v>#VALUE!</v>
      </c>
      <c r="CM2" s="66" t="str">
        <f>AND('Conciliación Bancaria'!J23,"AAAAAG7v31o=")</f>
        <v>#VALUE!</v>
      </c>
      <c r="CN2" s="66" t="str">
        <f>AND('Conciliación Bancaria'!K23,"AAAAAG7v31s=")</f>
        <v>#VALUE!</v>
      </c>
      <c r="CO2" s="66" t="str">
        <f>AND('Conciliación Bancaria'!L23,"AAAAAG7v31w=")</f>
        <v>#VALUE!</v>
      </c>
      <c r="CP2" s="66" t="str">
        <f>AND('Conciliación Bancaria'!M23,"AAAAAG7v310=")</f>
        <v>#VALUE!</v>
      </c>
      <c r="CQ2" s="66" t="str">
        <f>IF('Conciliación Bancaria'!$A24:$IU24,"AAAAAG7v314=",0)</f>
        <v>#VALUE!</v>
      </c>
      <c r="CR2" s="66" t="str">
        <f>AND('Conciliación Bancaria'!A24,"AAAAAG7v318=")</f>
        <v>#VALUE!</v>
      </c>
      <c r="CS2" s="66" t="str">
        <f>AND('Conciliación Bancaria'!B24,"AAAAAG7v32A=")</f>
        <v>#VALUE!</v>
      </c>
      <c r="CT2" s="66" t="str">
        <f>AND('Conciliación Bancaria'!C24,"AAAAAG7v32E=")</f>
        <v>#VALUE!</v>
      </c>
      <c r="CU2" s="66" t="str">
        <f>AND('Conciliación Bancaria'!D24,"AAAAAG7v32I=")</f>
        <v>#VALUE!</v>
      </c>
      <c r="CV2" s="66" t="str">
        <f>AND('Conciliación Bancaria'!E24,"AAAAAG7v32M=")</f>
        <v>#VALUE!</v>
      </c>
      <c r="CW2" s="66" t="str">
        <f>AND('Conciliación Bancaria'!F24,"AAAAAG7v32Q=")</f>
        <v>#VALUE!</v>
      </c>
      <c r="CX2" s="66" t="str">
        <f>AND('Conciliación Bancaria'!G24,"AAAAAG7v32U=")</f>
        <v>#VALUE!</v>
      </c>
      <c r="CY2" s="66" t="str">
        <f>AND('Conciliación Bancaria'!H24,"AAAAAG7v32Y=")</f>
        <v>#VALUE!</v>
      </c>
      <c r="CZ2" s="66" t="str">
        <f>AND('Conciliación Bancaria'!I24,"AAAAAG7v32c=")</f>
        <v>#VALUE!</v>
      </c>
      <c r="DA2" s="66" t="str">
        <f>AND('Conciliación Bancaria'!J24,"AAAAAG7v32g=")</f>
        <v>#VALUE!</v>
      </c>
      <c r="DB2" s="66" t="str">
        <f>AND('Conciliación Bancaria'!K24,"AAAAAG7v32k=")</f>
        <v>#VALUE!</v>
      </c>
      <c r="DC2" s="66" t="str">
        <f>AND('Conciliación Bancaria'!L24,"AAAAAG7v32o=")</f>
        <v>#VALUE!</v>
      </c>
      <c r="DD2" s="66" t="str">
        <f>AND('Conciliación Bancaria'!M24,"AAAAAG7v32s=")</f>
        <v>#VALUE!</v>
      </c>
      <c r="DE2" s="66" t="str">
        <f>IF('Conciliación Bancaria'!$A25:$IU25,"AAAAAG7v32w=",0)</f>
        <v>#VALUE!</v>
      </c>
      <c r="DF2" s="66" t="str">
        <f>AND('Conciliación Bancaria'!A25,"AAAAAG7v320=")</f>
        <v>#VALUE!</v>
      </c>
      <c r="DG2" s="66" t="str">
        <f>AND('Conciliación Bancaria'!B25,"AAAAAG7v324=")</f>
        <v>#VALUE!</v>
      </c>
      <c r="DH2" s="66" t="str">
        <f>AND('Conciliación Bancaria'!C25,"AAAAAG7v328=")</f>
        <v>#VALUE!</v>
      </c>
      <c r="DI2" s="66" t="str">
        <f>AND('Conciliación Bancaria'!D25,"AAAAAG7v33A=")</f>
        <v>#VALUE!</v>
      </c>
      <c r="DJ2" s="66" t="str">
        <f>AND('Conciliación Bancaria'!E25,"AAAAAG7v33E=")</f>
        <v>#VALUE!</v>
      </c>
      <c r="DK2" s="66" t="str">
        <f>AND('Conciliación Bancaria'!F25,"AAAAAG7v33I=")</f>
        <v>#VALUE!</v>
      </c>
      <c r="DL2" s="66" t="str">
        <f>AND('Conciliación Bancaria'!G25,"AAAAAG7v33M=")</f>
        <v>#VALUE!</v>
      </c>
      <c r="DM2" s="66" t="str">
        <f>AND('Conciliación Bancaria'!H25,"AAAAAG7v33Q=")</f>
        <v>#VALUE!</v>
      </c>
      <c r="DN2" s="66" t="str">
        <f>AND('Conciliación Bancaria'!I25,"AAAAAG7v33U=")</f>
        <v>#VALUE!</v>
      </c>
      <c r="DO2" s="66" t="str">
        <f>AND('Conciliación Bancaria'!J25,"AAAAAG7v33Y=")</f>
        <v>#VALUE!</v>
      </c>
      <c r="DP2" s="66" t="str">
        <f>AND('Conciliación Bancaria'!K25,"AAAAAG7v33c=")</f>
        <v>#VALUE!</v>
      </c>
      <c r="DQ2" s="66" t="str">
        <f>AND('Conciliación Bancaria'!L25,"AAAAAG7v33g=")</f>
        <v>#VALUE!</v>
      </c>
      <c r="DR2" s="66" t="str">
        <f>AND('Conciliación Bancaria'!M25,"AAAAAG7v33k=")</f>
        <v>#VALUE!</v>
      </c>
      <c r="DS2" s="66" t="str">
        <f>IF('Conciliación Bancaria'!$A26:$IU26,"AAAAAG7v33o=",0)</f>
        <v>#VALUE!</v>
      </c>
      <c r="DT2" s="66" t="str">
        <f>AND('Conciliación Bancaria'!A26,"AAAAAG7v33s=")</f>
        <v>#VALUE!</v>
      </c>
      <c r="DU2" s="66" t="str">
        <f>AND('Conciliación Bancaria'!B26,"AAAAAG7v33w=")</f>
        <v>#VALUE!</v>
      </c>
      <c r="DV2" s="66" t="str">
        <f>AND('Conciliación Bancaria'!C26,"AAAAAG7v330=")</f>
        <v>#VALUE!</v>
      </c>
      <c r="DW2" s="66" t="str">
        <f>AND('Conciliación Bancaria'!D26,"AAAAAG7v334=")</f>
        <v>#VALUE!</v>
      </c>
      <c r="DX2" s="66" t="str">
        <f>AND('Conciliación Bancaria'!E26,"AAAAAG7v338=")</f>
        <v>#VALUE!</v>
      </c>
      <c r="DY2" s="66" t="str">
        <f>AND('Conciliación Bancaria'!F26,"AAAAAG7v34A=")</f>
        <v>#VALUE!</v>
      </c>
      <c r="DZ2" s="66" t="str">
        <f>AND('Conciliación Bancaria'!G26,"AAAAAG7v34E=")</f>
        <v>#VALUE!</v>
      </c>
      <c r="EA2" s="66" t="str">
        <f>AND('Conciliación Bancaria'!H26,"AAAAAG7v34I=")</f>
        <v>#VALUE!</v>
      </c>
      <c r="EB2" s="66" t="str">
        <f>AND('Conciliación Bancaria'!I26,"AAAAAG7v34M=")</f>
        <v>#VALUE!</v>
      </c>
      <c r="EC2" s="66" t="str">
        <f>AND('Conciliación Bancaria'!J26,"AAAAAG7v34Q=")</f>
        <v>#VALUE!</v>
      </c>
      <c r="ED2" s="66" t="str">
        <f>AND('Conciliación Bancaria'!K26,"AAAAAG7v34U=")</f>
        <v>#VALUE!</v>
      </c>
      <c r="EE2" s="66" t="str">
        <f>AND('Conciliación Bancaria'!L26,"AAAAAG7v34Y=")</f>
        <v>#VALUE!</v>
      </c>
      <c r="EF2" s="66" t="str">
        <f>AND('Conciliación Bancaria'!M26,"AAAAAG7v34c=")</f>
        <v>#VALUE!</v>
      </c>
      <c r="EG2" s="66" t="str">
        <f>IF('Conciliación Bancaria'!$A27:$IU27,"AAAAAG7v34g=",0)</f>
        <v>#VALUE!</v>
      </c>
      <c r="EH2" s="66" t="str">
        <f>AND('Conciliación Bancaria'!A27,"AAAAAG7v34k=")</f>
        <v>#VALUE!</v>
      </c>
      <c r="EI2" s="66" t="str">
        <f>AND('Conciliación Bancaria'!B27,"AAAAAG7v34o=")</f>
        <v>#VALUE!</v>
      </c>
      <c r="EJ2" s="66" t="str">
        <f>AND('Conciliación Bancaria'!C27,"AAAAAG7v34s=")</f>
        <v>#VALUE!</v>
      </c>
      <c r="EK2" s="66" t="str">
        <f>AND('Conciliación Bancaria'!D27,"AAAAAG7v34w=")</f>
        <v>#VALUE!</v>
      </c>
      <c r="EL2" s="66" t="str">
        <f>AND('Conciliación Bancaria'!E27,"AAAAAG7v340=")</f>
        <v>#VALUE!</v>
      </c>
      <c r="EM2" s="66" t="str">
        <f>AND('Conciliación Bancaria'!F27,"AAAAAG7v344=")</f>
        <v>#VALUE!</v>
      </c>
      <c r="EN2" s="66" t="str">
        <f>AND('Conciliación Bancaria'!G27,"AAAAAG7v348=")</f>
        <v>#VALUE!</v>
      </c>
      <c r="EO2" s="66" t="str">
        <f>AND('Conciliación Bancaria'!H27,"AAAAAG7v35A=")</f>
        <v>#VALUE!</v>
      </c>
      <c r="EP2" s="66" t="str">
        <f>AND('Conciliación Bancaria'!I27,"AAAAAG7v35E=")</f>
        <v>#VALUE!</v>
      </c>
      <c r="EQ2" s="66" t="str">
        <f>AND('Conciliación Bancaria'!J27,"AAAAAG7v35I=")</f>
        <v>#VALUE!</v>
      </c>
      <c r="ER2" s="66" t="str">
        <f>AND('Conciliación Bancaria'!K27,"AAAAAG7v35M=")</f>
        <v>#VALUE!</v>
      </c>
      <c r="ES2" s="66" t="str">
        <f>AND('Conciliación Bancaria'!L27,"AAAAAG7v35Q=")</f>
        <v>#VALUE!</v>
      </c>
      <c r="ET2" s="66" t="str">
        <f>AND('Conciliación Bancaria'!M27,"AAAAAG7v35U=")</f>
        <v>#VALUE!</v>
      </c>
      <c r="EU2" s="66" t="str">
        <f>IF('Conciliación Bancaria'!$A28:$IU28,"AAAAAG7v35Y=",0)</f>
        <v>#VALUE!</v>
      </c>
      <c r="EV2" s="66" t="str">
        <f>AND('Conciliación Bancaria'!A28,"AAAAAG7v35c=")</f>
        <v>#VALUE!</v>
      </c>
      <c r="EW2" s="66" t="str">
        <f>AND('Conciliación Bancaria'!B28,"AAAAAG7v35g=")</f>
        <v>#VALUE!</v>
      </c>
      <c r="EX2" s="66" t="str">
        <f>AND('Conciliación Bancaria'!C28,"AAAAAG7v35k=")</f>
        <v>#VALUE!</v>
      </c>
      <c r="EY2" s="66" t="str">
        <f>AND('Conciliación Bancaria'!D28,"AAAAAG7v35o=")</f>
        <v>#VALUE!</v>
      </c>
      <c r="EZ2" s="66" t="str">
        <f>AND('Conciliación Bancaria'!E28,"AAAAAG7v35s=")</f>
        <v>#VALUE!</v>
      </c>
      <c r="FA2" s="66" t="str">
        <f>AND('Conciliación Bancaria'!F28,"AAAAAG7v35w=")</f>
        <v>#VALUE!</v>
      </c>
      <c r="FB2" s="66" t="str">
        <f>AND('Conciliación Bancaria'!G28,"AAAAAG7v350=")</f>
        <v>#VALUE!</v>
      </c>
      <c r="FC2" s="66" t="str">
        <f>AND('Conciliación Bancaria'!H28,"AAAAAG7v354=")</f>
        <v>#VALUE!</v>
      </c>
      <c r="FD2" s="66" t="str">
        <f>AND('Conciliación Bancaria'!I28,"AAAAAG7v358=")</f>
        <v>#VALUE!</v>
      </c>
      <c r="FE2" s="66" t="str">
        <f>AND('Conciliación Bancaria'!J28,"AAAAAG7v36A=")</f>
        <v>#VALUE!</v>
      </c>
      <c r="FF2" s="66" t="str">
        <f>AND('Conciliación Bancaria'!K28,"AAAAAG7v36E=")</f>
        <v>#VALUE!</v>
      </c>
      <c r="FG2" s="66" t="str">
        <f>AND('Conciliación Bancaria'!L28,"AAAAAG7v36I=")</f>
        <v>#VALUE!</v>
      </c>
      <c r="FH2" s="66" t="str">
        <f>AND('Conciliación Bancaria'!M28,"AAAAAG7v36M=")</f>
        <v>#VALUE!</v>
      </c>
      <c r="FI2" s="66" t="str">
        <f>IF('Conciliación Bancaria'!$A29:$IU29,"AAAAAG7v36Q=",0)</f>
        <v>#VALUE!</v>
      </c>
      <c r="FJ2" s="66" t="str">
        <f>AND('Conciliación Bancaria'!A29,"AAAAAG7v36U=")</f>
        <v>#VALUE!</v>
      </c>
      <c r="FK2" s="66" t="str">
        <f>AND('Conciliación Bancaria'!B29,"AAAAAG7v36Y=")</f>
        <v>#VALUE!</v>
      </c>
      <c r="FL2" s="66" t="str">
        <f>AND('Conciliación Bancaria'!C29,"AAAAAG7v36c=")</f>
        <v>#VALUE!</v>
      </c>
      <c r="FM2" s="66" t="str">
        <f>AND('Conciliación Bancaria'!D29,"AAAAAG7v36g=")</f>
        <v>#VALUE!</v>
      </c>
      <c r="FN2" s="66" t="str">
        <f>AND('Conciliación Bancaria'!E29,"AAAAAG7v36k=")</f>
        <v>#VALUE!</v>
      </c>
      <c r="FO2" s="66" t="str">
        <f>AND('Conciliación Bancaria'!F29,"AAAAAG7v36o=")</f>
        <v>#VALUE!</v>
      </c>
      <c r="FP2" s="66" t="str">
        <f>AND('Conciliación Bancaria'!G29,"AAAAAG7v36s=")</f>
        <v>#VALUE!</v>
      </c>
      <c r="FQ2" s="66" t="str">
        <f>AND('Conciliación Bancaria'!H29,"AAAAAG7v36w=")</f>
        <v>#VALUE!</v>
      </c>
      <c r="FR2" s="66" t="str">
        <f>AND('Conciliación Bancaria'!I29,"AAAAAG7v360=")</f>
        <v>#VALUE!</v>
      </c>
      <c r="FS2" s="66" t="str">
        <f>AND('Conciliación Bancaria'!J29,"AAAAAG7v364=")</f>
        <v>#VALUE!</v>
      </c>
      <c r="FT2" s="66" t="str">
        <f>AND('Conciliación Bancaria'!K29,"AAAAAG7v368=")</f>
        <v>#VALUE!</v>
      </c>
      <c r="FU2" s="66" t="str">
        <f>AND('Conciliación Bancaria'!L29,"AAAAAG7v37A=")</f>
        <v>#VALUE!</v>
      </c>
      <c r="FV2" s="66" t="str">
        <f>AND('Conciliación Bancaria'!M29,"AAAAAG7v37E=")</f>
        <v>#VALUE!</v>
      </c>
      <c r="FW2" s="66" t="str">
        <f>IF('Conciliación Bancaria'!$A30:$IU30,"AAAAAG7v37I=",0)</f>
        <v>#VALUE!</v>
      </c>
      <c r="FX2" s="66" t="str">
        <f>AND('Conciliación Bancaria'!A30,"AAAAAG7v37M=")</f>
        <v>#VALUE!</v>
      </c>
      <c r="FY2" s="66" t="str">
        <f>AND('Conciliación Bancaria'!B30,"AAAAAG7v37Q=")</f>
        <v>#VALUE!</v>
      </c>
      <c r="FZ2" s="66" t="str">
        <f>AND('Conciliación Bancaria'!C30,"AAAAAG7v37U=")</f>
        <v>#VALUE!</v>
      </c>
      <c r="GA2" s="66" t="str">
        <f>AND('Conciliación Bancaria'!D30,"AAAAAG7v37Y=")</f>
        <v>#VALUE!</v>
      </c>
      <c r="GB2" s="66" t="str">
        <f>AND('Conciliación Bancaria'!E30,"AAAAAG7v37c=")</f>
        <v>#VALUE!</v>
      </c>
      <c r="GC2" s="66" t="str">
        <f>AND('Conciliación Bancaria'!F30,"AAAAAG7v37g=")</f>
        <v>#VALUE!</v>
      </c>
      <c r="GD2" s="66" t="str">
        <f>AND('Conciliación Bancaria'!G30,"AAAAAG7v37k=")</f>
        <v>#VALUE!</v>
      </c>
      <c r="GE2" s="66" t="str">
        <f>AND('Conciliación Bancaria'!H30,"AAAAAG7v37o=")</f>
        <v>#VALUE!</v>
      </c>
      <c r="GF2" s="66" t="str">
        <f>AND('Conciliación Bancaria'!I30,"AAAAAG7v37s=")</f>
        <v>#VALUE!</v>
      </c>
      <c r="GG2" s="66" t="str">
        <f>AND('Conciliación Bancaria'!J30,"AAAAAG7v37w=")</f>
        <v>#VALUE!</v>
      </c>
      <c r="GH2" s="66" t="str">
        <f>AND('Conciliación Bancaria'!K30,"AAAAAG7v370=")</f>
        <v>#VALUE!</v>
      </c>
      <c r="GI2" s="66" t="str">
        <f>AND('Conciliación Bancaria'!L30,"AAAAAG7v374=")</f>
        <v>#VALUE!</v>
      </c>
      <c r="GJ2" s="66" t="str">
        <f>AND('Conciliación Bancaria'!M30,"AAAAAG7v378=")</f>
        <v>#VALUE!</v>
      </c>
      <c r="GK2" s="66" t="str">
        <f>IF('Conciliación Bancaria'!$A31:$IU31,"AAAAAG7v38A=",0)</f>
        <v>#VALUE!</v>
      </c>
      <c r="GL2" s="66" t="str">
        <f>AND('Conciliación Bancaria'!A31,"AAAAAG7v38E=")</f>
        <v>#VALUE!</v>
      </c>
      <c r="GM2" s="66" t="str">
        <f>AND('Conciliación Bancaria'!B31,"AAAAAG7v38I=")</f>
        <v>#VALUE!</v>
      </c>
      <c r="GN2" s="66" t="str">
        <f>AND('Conciliación Bancaria'!C31,"AAAAAG7v38M=")</f>
        <v>#VALUE!</v>
      </c>
      <c r="GO2" s="66" t="str">
        <f>AND('Conciliación Bancaria'!D31,"AAAAAG7v38Q=")</f>
        <v>#VALUE!</v>
      </c>
      <c r="GP2" s="66" t="str">
        <f>AND('Conciliación Bancaria'!E31,"AAAAAG7v38U=")</f>
        <v>#VALUE!</v>
      </c>
      <c r="GQ2" s="66" t="str">
        <f>AND('Conciliación Bancaria'!F31,"AAAAAG7v38Y=")</f>
        <v>#VALUE!</v>
      </c>
      <c r="GR2" s="66" t="str">
        <f>AND('Conciliación Bancaria'!G31,"AAAAAG7v38c=")</f>
        <v>#VALUE!</v>
      </c>
      <c r="GS2" s="66" t="str">
        <f>AND('Conciliación Bancaria'!H31,"AAAAAG7v38g=")</f>
        <v>#VALUE!</v>
      </c>
      <c r="GT2" s="66" t="str">
        <f>AND('Conciliación Bancaria'!I31,"AAAAAG7v38k=")</f>
        <v>#VALUE!</v>
      </c>
      <c r="GU2" s="66" t="str">
        <f>AND('Conciliación Bancaria'!J31,"AAAAAG7v38o=")</f>
        <v>#VALUE!</v>
      </c>
      <c r="GV2" s="66" t="str">
        <f>AND('Conciliación Bancaria'!K31,"AAAAAG7v38s=")</f>
        <v>#VALUE!</v>
      </c>
      <c r="GW2" s="66" t="str">
        <f>AND('Conciliación Bancaria'!L31,"AAAAAG7v38w=")</f>
        <v>#VALUE!</v>
      </c>
      <c r="GX2" s="66" t="str">
        <f>AND('Conciliación Bancaria'!M31,"AAAAAG7v380=")</f>
        <v>#VALUE!</v>
      </c>
      <c r="GY2" s="66" t="str">
        <f>IF('Conciliación Bancaria'!$A32:$IU32,"AAAAAG7v384=",0)</f>
        <v>#VALUE!</v>
      </c>
      <c r="GZ2" s="66" t="str">
        <f>AND('Conciliación Bancaria'!A32,"AAAAAG7v388=")</f>
        <v>#VALUE!</v>
      </c>
      <c r="HA2" s="66" t="str">
        <f>AND('Conciliación Bancaria'!B32,"AAAAAG7v39A=")</f>
        <v>#VALUE!</v>
      </c>
      <c r="HB2" s="66" t="str">
        <f>AND('Conciliación Bancaria'!C32,"AAAAAG7v39E=")</f>
        <v>#VALUE!</v>
      </c>
      <c r="HC2" s="66" t="str">
        <f>AND('Conciliación Bancaria'!D32,"AAAAAG7v39I=")</f>
        <v>#VALUE!</v>
      </c>
      <c r="HD2" s="66" t="str">
        <f>AND('Conciliación Bancaria'!E32,"AAAAAG7v39M=")</f>
        <v>#VALUE!</v>
      </c>
      <c r="HE2" s="66" t="str">
        <f>AND('Conciliación Bancaria'!F32,"AAAAAG7v39Q=")</f>
        <v>#VALUE!</v>
      </c>
      <c r="HF2" s="66" t="str">
        <f>AND('Conciliación Bancaria'!G32,"AAAAAG7v39U=")</f>
        <v>#VALUE!</v>
      </c>
      <c r="HG2" s="66" t="str">
        <f>AND('Conciliación Bancaria'!H32,"AAAAAG7v39Y=")</f>
        <v>#VALUE!</v>
      </c>
      <c r="HH2" s="66" t="str">
        <f>AND('Conciliación Bancaria'!I32,"AAAAAG7v39c=")</f>
        <v>#VALUE!</v>
      </c>
      <c r="HI2" s="66" t="str">
        <f>AND('Conciliación Bancaria'!J32,"AAAAAG7v39g=")</f>
        <v>#VALUE!</v>
      </c>
      <c r="HJ2" s="66" t="str">
        <f>AND('Conciliación Bancaria'!K32,"AAAAAG7v39k=")</f>
        <v>#VALUE!</v>
      </c>
      <c r="HK2" s="66" t="str">
        <f>AND('Conciliación Bancaria'!L32,"AAAAAG7v39o=")</f>
        <v>#VALUE!</v>
      </c>
      <c r="HL2" s="66" t="str">
        <f>AND('Conciliación Bancaria'!M32,"AAAAAG7v39s=")</f>
        <v>#VALUE!</v>
      </c>
      <c r="HM2" s="66" t="str">
        <f>IF('Conciliación Bancaria'!$A33:$IU33,"AAAAAG7v39w=",0)</f>
        <v>#VALUE!</v>
      </c>
      <c r="HN2" s="66" t="str">
        <f>AND('Conciliación Bancaria'!A33,"AAAAAG7v390=")</f>
        <v>#VALUE!</v>
      </c>
      <c r="HO2" s="66" t="str">
        <f>AND('Conciliación Bancaria'!B33,"AAAAAG7v394=")</f>
        <v>#VALUE!</v>
      </c>
      <c r="HP2" s="66" t="str">
        <f>AND('Conciliación Bancaria'!C33,"AAAAAG7v398=")</f>
        <v>#VALUE!</v>
      </c>
      <c r="HQ2" s="66" t="str">
        <f>AND('Conciliación Bancaria'!D33,"AAAAAG7v3+A=")</f>
        <v>#VALUE!</v>
      </c>
      <c r="HR2" s="66" t="str">
        <f>AND('Conciliación Bancaria'!E33,"AAAAAG7v3+E=")</f>
        <v>#VALUE!</v>
      </c>
      <c r="HS2" s="66" t="str">
        <f>AND('Conciliación Bancaria'!F33,"AAAAAG7v3+I=")</f>
        <v>#VALUE!</v>
      </c>
      <c r="HT2" s="66" t="str">
        <f>AND('Conciliación Bancaria'!G33,"AAAAAG7v3+M=")</f>
        <v>#VALUE!</v>
      </c>
      <c r="HU2" s="66" t="str">
        <f>AND('Conciliación Bancaria'!H33,"AAAAAG7v3+Q=")</f>
        <v>#VALUE!</v>
      </c>
      <c r="HV2" s="66" t="str">
        <f>AND('Conciliación Bancaria'!I33,"AAAAAG7v3+U=")</f>
        <v>#VALUE!</v>
      </c>
      <c r="HW2" s="66" t="str">
        <f>AND('Conciliación Bancaria'!J33,"AAAAAG7v3+Y=")</f>
        <v>#VALUE!</v>
      </c>
      <c r="HX2" s="66" t="str">
        <f>AND('Conciliación Bancaria'!K33,"AAAAAG7v3+c=")</f>
        <v>#VALUE!</v>
      </c>
      <c r="HY2" s="66" t="str">
        <f>AND('Conciliación Bancaria'!L33,"AAAAAG7v3+g=")</f>
        <v>#VALUE!</v>
      </c>
      <c r="HZ2" s="66" t="str">
        <f>AND('Conciliación Bancaria'!M33,"AAAAAG7v3+k=")</f>
        <v>#VALUE!</v>
      </c>
      <c r="IA2" s="66" t="str">
        <f>IF('Conciliación Bancaria'!$A34:$IU34,"AAAAAG7v3+o=",0)</f>
        <v>#VALUE!</v>
      </c>
      <c r="IB2" s="66" t="str">
        <f>AND('Conciliación Bancaria'!A34,"AAAAAG7v3+s=")</f>
        <v>#VALUE!</v>
      </c>
      <c r="IC2" s="66" t="str">
        <f>AND('Conciliación Bancaria'!B34,"AAAAAG7v3+w=")</f>
        <v>#VALUE!</v>
      </c>
      <c r="ID2" s="66" t="str">
        <f>AND('Conciliación Bancaria'!C34,"AAAAAG7v3+0=")</f>
        <v>#VALUE!</v>
      </c>
      <c r="IE2" s="66" t="str">
        <f>AND('Conciliación Bancaria'!D34,"AAAAAG7v3+4=")</f>
        <v>#VALUE!</v>
      </c>
      <c r="IF2" s="66" t="str">
        <f>AND('Conciliación Bancaria'!E34,"AAAAAG7v3+8=")</f>
        <v>#VALUE!</v>
      </c>
      <c r="IG2" s="66" t="str">
        <f>AND('Conciliación Bancaria'!F34,"AAAAAG7v3/A=")</f>
        <v>#VALUE!</v>
      </c>
      <c r="IH2" s="66" t="str">
        <f>AND('Conciliación Bancaria'!G34,"AAAAAG7v3/E=")</f>
        <v>#VALUE!</v>
      </c>
      <c r="II2" s="66" t="str">
        <f>AND('Conciliación Bancaria'!H34,"AAAAAG7v3/I=")</f>
        <v>#VALUE!</v>
      </c>
      <c r="IJ2" s="66" t="str">
        <f>AND('Conciliación Bancaria'!I34,"AAAAAG7v3/M=")</f>
        <v>#VALUE!</v>
      </c>
      <c r="IK2" s="66" t="str">
        <f>AND('Conciliación Bancaria'!J34,"AAAAAG7v3/Q=")</f>
        <v>#VALUE!</v>
      </c>
      <c r="IL2" s="66" t="str">
        <f>AND('Conciliación Bancaria'!K34,"AAAAAG7v3/U=")</f>
        <v>#VALUE!</v>
      </c>
      <c r="IM2" s="66" t="str">
        <f>AND('Conciliación Bancaria'!L34,"AAAAAG7v3/Y=")</f>
        <v>#VALUE!</v>
      </c>
      <c r="IN2" s="66" t="str">
        <f>AND('Conciliación Bancaria'!M34,"AAAAAG7v3/c=")</f>
        <v>#VALUE!</v>
      </c>
      <c r="IO2" s="66" t="str">
        <f>IF('Conciliación Bancaria'!$A35:$IU35,"AAAAAG7v3/g=",0)</f>
        <v>#VALUE!</v>
      </c>
      <c r="IP2" s="66" t="str">
        <f>AND('Conciliación Bancaria'!A35,"AAAAAG7v3/k=")</f>
        <v>#VALUE!</v>
      </c>
      <c r="IQ2" s="66" t="str">
        <f>AND('Conciliación Bancaria'!B35,"AAAAAG7v3/o=")</f>
        <v>#VALUE!</v>
      </c>
      <c r="IR2" s="66" t="str">
        <f>AND('Conciliación Bancaria'!C35,"AAAAAG7v3/s=")</f>
        <v>#VALUE!</v>
      </c>
      <c r="IS2" s="66" t="str">
        <f>AND('Conciliación Bancaria'!D35,"AAAAAG7v3/w=")</f>
        <v>#VALUE!</v>
      </c>
      <c r="IT2" s="66" t="str">
        <f>AND('Conciliación Bancaria'!E35,"AAAAAG7v3/0=")</f>
        <v>#VALUE!</v>
      </c>
      <c r="IU2" s="66" t="str">
        <f>AND('Conciliación Bancaria'!F35,"AAAAAG7v3/4=")</f>
        <v>#VALUE!</v>
      </c>
      <c r="IV2" s="66" t="str">
        <f>AND('Conciliación Bancaria'!G35,"AAAAAG7v3/8=")</f>
        <v>#VALUE!</v>
      </c>
    </row>
    <row r="3" ht="12.75" customHeight="1">
      <c r="A3" s="66" t="str">
        <f>AND('Conciliación Bancaria'!H35,"AAAAAHW/tgA=")</f>
        <v>#VALUE!</v>
      </c>
      <c r="B3" s="66" t="str">
        <f>AND('Conciliación Bancaria'!I35,"AAAAAHW/tgE=")</f>
        <v>#VALUE!</v>
      </c>
      <c r="C3" s="66" t="str">
        <f>AND('Conciliación Bancaria'!J35,"AAAAAHW/tgI=")</f>
        <v>#VALUE!</v>
      </c>
      <c r="D3" s="66" t="str">
        <f>AND('Conciliación Bancaria'!K35,"AAAAAHW/tgM=")</f>
        <v>#VALUE!</v>
      </c>
      <c r="E3" s="66" t="str">
        <f>AND('Conciliación Bancaria'!L35,"AAAAAHW/tgQ=")</f>
        <v>#VALUE!</v>
      </c>
      <c r="F3" s="66" t="str">
        <f>AND('Conciliación Bancaria'!M35,"AAAAAHW/tgU=")</f>
        <v>#VALUE!</v>
      </c>
      <c r="G3" s="66">
        <f>IF('Conciliación Bancaria'!$A36:$IU36,"AAAAAHW/tgY=",0)</f>
        <v>0</v>
      </c>
      <c r="H3" s="66" t="str">
        <f>AND('Conciliación Bancaria'!A36,"AAAAAHW/tgc=")</f>
        <v>#VALUE!</v>
      </c>
      <c r="I3" s="66" t="str">
        <f>AND('Conciliación Bancaria'!B36,"AAAAAHW/tgg=")</f>
        <v>#VALUE!</v>
      </c>
      <c r="J3" s="66" t="str">
        <f>AND('Conciliación Bancaria'!C36,"AAAAAHW/tgk=")</f>
        <v>#VALUE!</v>
      </c>
      <c r="K3" s="66" t="str">
        <f>AND('Conciliación Bancaria'!D36,"AAAAAHW/tgo=")</f>
        <v>#VALUE!</v>
      </c>
      <c r="L3" s="66" t="str">
        <f>AND('Conciliación Bancaria'!E36,"AAAAAHW/tgs=")</f>
        <v>#VALUE!</v>
      </c>
      <c r="M3" s="66" t="str">
        <f>AND('Conciliación Bancaria'!F36,"AAAAAHW/tgw=")</f>
        <v>#VALUE!</v>
      </c>
      <c r="N3" s="66" t="str">
        <f>AND('Conciliación Bancaria'!G36,"AAAAAHW/tg0=")</f>
        <v>#VALUE!</v>
      </c>
      <c r="O3" s="66" t="str">
        <f>AND('Conciliación Bancaria'!H36,"AAAAAHW/tg4=")</f>
        <v>#VALUE!</v>
      </c>
      <c r="P3" s="66" t="str">
        <f>AND('Conciliación Bancaria'!I36,"AAAAAHW/tg8=")</f>
        <v>#VALUE!</v>
      </c>
      <c r="Q3" s="66" t="str">
        <f>AND('Conciliación Bancaria'!J36,"AAAAAHW/thA=")</f>
        <v>#VALUE!</v>
      </c>
      <c r="R3" s="66" t="str">
        <f>AND('Conciliación Bancaria'!K36,"AAAAAHW/thE=")</f>
        <v>#VALUE!</v>
      </c>
      <c r="S3" s="66" t="str">
        <f>AND('Conciliación Bancaria'!L36,"AAAAAHW/thI=")</f>
        <v>#VALUE!</v>
      </c>
      <c r="T3" s="66" t="str">
        <f>AND('Conciliación Bancaria'!M36,"AAAAAHW/thM=")</f>
        <v>#VALUE!</v>
      </c>
      <c r="U3" s="66">
        <f>IF('Conciliación Bancaria'!$A37:$IU37,"AAAAAHW/thQ=",0)</f>
        <v>0</v>
      </c>
      <c r="V3" s="66" t="str">
        <f>AND('Conciliación Bancaria'!A37,"AAAAAHW/thU=")</f>
        <v>#VALUE!</v>
      </c>
      <c r="W3" s="66" t="str">
        <f>AND('Conciliación Bancaria'!B37,"AAAAAHW/thY=")</f>
        <v>#VALUE!</v>
      </c>
      <c r="X3" s="66" t="str">
        <f>AND('Conciliación Bancaria'!C37,"AAAAAHW/thc=")</f>
        <v>#VALUE!</v>
      </c>
      <c r="Y3" s="66" t="str">
        <f>AND('Conciliación Bancaria'!D37,"AAAAAHW/thg=")</f>
        <v>#VALUE!</v>
      </c>
      <c r="Z3" s="66" t="str">
        <f>AND('Conciliación Bancaria'!E37,"AAAAAHW/thk=")</f>
        <v>#VALUE!</v>
      </c>
      <c r="AA3" s="66" t="str">
        <f>AND('Conciliación Bancaria'!F37,"AAAAAHW/tho=")</f>
        <v>#VALUE!</v>
      </c>
      <c r="AB3" s="66" t="str">
        <f>AND('Conciliación Bancaria'!G37,"AAAAAHW/ths=")</f>
        <v>#VALUE!</v>
      </c>
      <c r="AC3" s="66" t="str">
        <f>AND('Conciliación Bancaria'!H37,"AAAAAHW/thw=")</f>
        <v>#VALUE!</v>
      </c>
      <c r="AD3" s="66" t="str">
        <f>AND('Conciliación Bancaria'!I37,"AAAAAHW/th0=")</f>
        <v>#VALUE!</v>
      </c>
      <c r="AE3" s="66" t="str">
        <f>AND('Conciliación Bancaria'!J37,"AAAAAHW/th4=")</f>
        <v>#VALUE!</v>
      </c>
      <c r="AF3" s="66" t="str">
        <f>AND('Conciliación Bancaria'!K37,"AAAAAHW/th8=")</f>
        <v>#VALUE!</v>
      </c>
      <c r="AG3" s="66" t="str">
        <f>AND('Conciliación Bancaria'!L37,"AAAAAHW/tiA=")</f>
        <v>#VALUE!</v>
      </c>
      <c r="AH3" s="66" t="str">
        <f>AND('Conciliación Bancaria'!M37,"AAAAAHW/tiE=")</f>
        <v>#VALUE!</v>
      </c>
      <c r="AI3" s="66" t="str">
        <f>IF('Conciliación Bancaria'!$A38:$IU38,"AAAAAHW/tiI=",0)</f>
        <v>#VALUE!</v>
      </c>
      <c r="AJ3" s="66" t="str">
        <f>AND('Conciliación Bancaria'!A38,"AAAAAHW/tiM=")</f>
        <v>#VALUE!</v>
      </c>
      <c r="AK3" s="66" t="str">
        <f>AND('Conciliación Bancaria'!B38,"AAAAAHW/tiQ=")</f>
        <v>#VALUE!</v>
      </c>
      <c r="AL3" s="66" t="b">
        <f>AND('Conciliación Bancaria'!C38,"AAAAAHW/tiU=")</f>
        <v>0</v>
      </c>
      <c r="AM3" s="66" t="str">
        <f>AND('Conciliación Bancaria'!D38,"AAAAAHW/tiY=")</f>
        <v>#VALUE!</v>
      </c>
      <c r="AN3" s="66" t="str">
        <f>AND('Conciliación Bancaria'!E38,"AAAAAHW/tic=")</f>
        <v>#VALUE!</v>
      </c>
      <c r="AO3" s="66" t="str">
        <f>AND('Conciliación Bancaria'!F38,"AAAAAHW/tig=")</f>
        <v>#VALUE!</v>
      </c>
      <c r="AP3" s="66" t="str">
        <f>AND('Conciliación Bancaria'!G38,"AAAAAHW/tik=")</f>
        <v>#VALUE!</v>
      </c>
      <c r="AQ3" s="66" t="str">
        <f>AND('Conciliación Bancaria'!H38,"AAAAAHW/tio=")</f>
        <v>#VALUE!</v>
      </c>
      <c r="AR3" s="66" t="str">
        <f>AND('Conciliación Bancaria'!I38,"AAAAAHW/tis=")</f>
        <v>#VALUE!</v>
      </c>
      <c r="AS3" s="66" t="str">
        <f>AND('Conciliación Bancaria'!J38,"AAAAAHW/tiw=")</f>
        <v>#VALUE!</v>
      </c>
      <c r="AT3" s="66" t="str">
        <f>AND('Conciliación Bancaria'!K38,"AAAAAHW/ti0=")</f>
        <v>#VALUE!</v>
      </c>
      <c r="AU3" s="66" t="str">
        <f>AND('Conciliación Bancaria'!L38,"AAAAAHW/ti4=")</f>
        <v>#VALUE!</v>
      </c>
      <c r="AV3" s="66" t="str">
        <f>AND('Conciliación Bancaria'!M38,"AAAAAHW/ti8=")</f>
        <v>#VALUE!</v>
      </c>
      <c r="AW3" s="66" t="str">
        <f>IF('Conciliación Bancaria'!$A39:$IU39,"AAAAAHW/tjA=",0)</f>
        <v>#VALUE!</v>
      </c>
      <c r="AX3" s="66" t="str">
        <f>AND('Conciliación Bancaria'!A39,"AAAAAHW/tjE=")</f>
        <v>#VALUE!</v>
      </c>
      <c r="AY3" s="66" t="str">
        <f>AND('Conciliación Bancaria'!B39,"AAAAAHW/tjI=")</f>
        <v>#VALUE!</v>
      </c>
      <c r="AZ3" s="66" t="str">
        <f>AND('Conciliación Bancaria'!C39,"AAAAAHW/tjM=")</f>
        <v>#VALUE!</v>
      </c>
      <c r="BA3" s="66" t="str">
        <f>AND('Conciliación Bancaria'!D39,"AAAAAHW/tjQ=")</f>
        <v>#VALUE!</v>
      </c>
      <c r="BB3" s="66" t="str">
        <f>AND('Conciliación Bancaria'!E39,"AAAAAHW/tjU=")</f>
        <v>#VALUE!</v>
      </c>
      <c r="BC3" s="66" t="str">
        <f>AND('Conciliación Bancaria'!F39,"AAAAAHW/tjY=")</f>
        <v>#VALUE!</v>
      </c>
      <c r="BD3" s="66" t="str">
        <f>AND('Conciliación Bancaria'!G39,"AAAAAHW/tjc=")</f>
        <v>#VALUE!</v>
      </c>
      <c r="BE3" s="66" t="str">
        <f>AND('Conciliación Bancaria'!H39,"AAAAAHW/tjg=")</f>
        <v>#VALUE!</v>
      </c>
      <c r="BF3" s="66" t="str">
        <f>AND('Conciliación Bancaria'!I39,"AAAAAHW/tjk=")</f>
        <v>#VALUE!</v>
      </c>
      <c r="BG3" s="66" t="str">
        <f>AND('Conciliación Bancaria'!J39,"AAAAAHW/tjo=")</f>
        <v>#VALUE!</v>
      </c>
      <c r="BH3" s="66" t="str">
        <f>AND('Conciliación Bancaria'!K39,"AAAAAHW/tjs=")</f>
        <v>#VALUE!</v>
      </c>
      <c r="BI3" s="66" t="str">
        <f>AND('Conciliación Bancaria'!L39,"AAAAAHW/tjw=")</f>
        <v>#VALUE!</v>
      </c>
      <c r="BJ3" s="66" t="str">
        <f>AND('Conciliación Bancaria'!M39,"AAAAAHW/tj0=")</f>
        <v>#VALUE!</v>
      </c>
      <c r="BK3" s="66" t="str">
        <f>IF('Conciliación Bancaria'!$A40:$IU40,"AAAAAHW/tj4=",0)</f>
        <v>#VALUE!</v>
      </c>
      <c r="BL3" s="66" t="str">
        <f>AND('Conciliación Bancaria'!A40,"AAAAAHW/tj8=")</f>
        <v>#VALUE!</v>
      </c>
      <c r="BM3" s="66" t="str">
        <f>AND('Conciliación Bancaria'!B40,"AAAAAHW/tkA=")</f>
        <v>#VALUE!</v>
      </c>
      <c r="BN3" s="66" t="str">
        <f>AND('Conciliación Bancaria'!C40,"AAAAAHW/tkE=")</f>
        <v>#VALUE!</v>
      </c>
      <c r="BO3" s="66" t="str">
        <f>AND('Conciliación Bancaria'!D40,"AAAAAHW/tkI=")</f>
        <v>#VALUE!</v>
      </c>
      <c r="BP3" s="66" t="str">
        <f>AND('Conciliación Bancaria'!E40,"AAAAAHW/tkM=")</f>
        <v>#VALUE!</v>
      </c>
      <c r="BQ3" s="66" t="str">
        <f>AND('Conciliación Bancaria'!F40,"AAAAAHW/tkQ=")</f>
        <v>#VALUE!</v>
      </c>
      <c r="BR3" s="66" t="str">
        <f>AND('Conciliación Bancaria'!G40,"AAAAAHW/tkU=")</f>
        <v>#VALUE!</v>
      </c>
      <c r="BS3" s="66" t="str">
        <f>AND('Conciliación Bancaria'!H40,"AAAAAHW/tkY=")</f>
        <v>#VALUE!</v>
      </c>
      <c r="BT3" s="66" t="str">
        <f>AND('Conciliación Bancaria'!I40,"AAAAAHW/tkc=")</f>
        <v>#VALUE!</v>
      </c>
      <c r="BU3" s="66" t="str">
        <f>AND('Conciliación Bancaria'!J40,"AAAAAHW/tkg=")</f>
        <v>#VALUE!</v>
      </c>
      <c r="BV3" s="66" t="str">
        <f>AND('Conciliación Bancaria'!K40,"AAAAAHW/tkk=")</f>
        <v>#VALUE!</v>
      </c>
      <c r="BW3" s="66" t="str">
        <f>AND('Conciliación Bancaria'!L40,"AAAAAHW/tko=")</f>
        <v>#VALUE!</v>
      </c>
      <c r="BX3" s="66" t="str">
        <f>AND('Conciliación Bancaria'!M40,"AAAAAHW/tks=")</f>
        <v>#VALUE!</v>
      </c>
      <c r="BY3" s="66" t="str">
        <f>IF('Conciliación Bancaria'!$A41:$IU41,"AAAAAHW/tkw=",0)</f>
        <v>#VALUE!</v>
      </c>
      <c r="BZ3" s="66" t="str">
        <f>AND('Conciliación Bancaria'!A41,"AAAAAHW/tk0=")</f>
        <v>#VALUE!</v>
      </c>
      <c r="CA3" s="66" t="str">
        <f>AND('Conciliación Bancaria'!B41,"AAAAAHW/tk4=")</f>
        <v>#VALUE!</v>
      </c>
      <c r="CB3" s="66" t="str">
        <f>AND('Conciliación Bancaria'!C41,"AAAAAHW/tk8=")</f>
        <v>#VALUE!</v>
      </c>
      <c r="CC3" s="66" t="str">
        <f>AND('Conciliación Bancaria'!D41,"AAAAAHW/tlA=")</f>
        <v>#VALUE!</v>
      </c>
      <c r="CD3" s="66" t="str">
        <f>AND('Conciliación Bancaria'!E41,"AAAAAHW/tlE=")</f>
        <v>#VALUE!</v>
      </c>
      <c r="CE3" s="66" t="str">
        <f>AND('Conciliación Bancaria'!F41,"AAAAAHW/tlI=")</f>
        <v>#VALUE!</v>
      </c>
      <c r="CF3" s="66" t="str">
        <f>AND('Conciliación Bancaria'!G41,"AAAAAHW/tlM=")</f>
        <v>#VALUE!</v>
      </c>
      <c r="CG3" s="66" t="str">
        <f>AND('Conciliación Bancaria'!H41,"AAAAAHW/tlQ=")</f>
        <v>#VALUE!</v>
      </c>
      <c r="CH3" s="66" t="str">
        <f>AND('Conciliación Bancaria'!I41,"AAAAAHW/tlU=")</f>
        <v>#VALUE!</v>
      </c>
      <c r="CI3" s="66" t="str">
        <f>AND('Conciliación Bancaria'!J41,"AAAAAHW/tlY=")</f>
        <v>#VALUE!</v>
      </c>
      <c r="CJ3" s="66" t="str">
        <f>AND('Conciliación Bancaria'!K41,"AAAAAHW/tlc=")</f>
        <v>#VALUE!</v>
      </c>
      <c r="CK3" s="66" t="str">
        <f>AND('Conciliación Bancaria'!L41,"AAAAAHW/tlg=")</f>
        <v>#VALUE!</v>
      </c>
      <c r="CL3" s="66" t="str">
        <f>AND('Conciliación Bancaria'!M41,"AAAAAHW/tlk=")</f>
        <v>#VALUE!</v>
      </c>
      <c r="CM3" s="66" t="str">
        <f>IF('Conciliación Bancaria'!$A42:$IU42,"AAAAAHW/tlo=",0)</f>
        <v>#VALUE!</v>
      </c>
      <c r="CN3" s="66" t="str">
        <f>AND('Conciliación Bancaria'!#REF!,"AAAAAHW/tls=")</f>
        <v>#ERROR!</v>
      </c>
      <c r="CO3" s="66" t="str">
        <f>AND('Conciliación Bancaria'!B42,"AAAAAHW/tlw=")</f>
        <v>#VALUE!</v>
      </c>
      <c r="CP3" s="66" t="str">
        <f>AND('Conciliación Bancaria'!C42,"AAAAAHW/tl0=")</f>
        <v>#VALUE!</v>
      </c>
      <c r="CQ3" s="66" t="str">
        <f>AND('Conciliación Bancaria'!D42,"AAAAAHW/tl4=")</f>
        <v>#VALUE!</v>
      </c>
      <c r="CR3" s="66" t="str">
        <f>AND('Conciliación Bancaria'!E42,"AAAAAHW/tl8=")</f>
        <v>#VALUE!</v>
      </c>
      <c r="CS3" s="66" t="str">
        <f>AND('Conciliación Bancaria'!F42,"AAAAAHW/tmA=")</f>
        <v>#VALUE!</v>
      </c>
      <c r="CT3" s="66" t="str">
        <f>AND('Conciliación Bancaria'!G42,"AAAAAHW/tmE=")</f>
        <v>#VALUE!</v>
      </c>
      <c r="CU3" s="66" t="str">
        <f>AND('Conciliación Bancaria'!H42,"AAAAAHW/tmI=")</f>
        <v>#VALUE!</v>
      </c>
      <c r="CV3" s="66" t="str">
        <f>AND('Conciliación Bancaria'!I42,"AAAAAHW/tmM=")</f>
        <v>#VALUE!</v>
      </c>
      <c r="CW3" s="66" t="str">
        <f>AND('Conciliación Bancaria'!J42,"AAAAAHW/tmQ=")</f>
        <v>#VALUE!</v>
      </c>
      <c r="CX3" s="66" t="str">
        <f>AND('Conciliación Bancaria'!K42,"AAAAAHW/tmU=")</f>
        <v>#VALUE!</v>
      </c>
      <c r="CY3" s="66" t="str">
        <f>AND('Conciliación Bancaria'!L42,"AAAAAHW/tmY=")</f>
        <v>#VALUE!</v>
      </c>
      <c r="CZ3" s="66" t="str">
        <f>AND('Conciliación Bancaria'!M42,"AAAAAHW/tmc=")</f>
        <v>#VALUE!</v>
      </c>
      <c r="DA3" s="66" t="str">
        <f>IF('Conciliación Bancaria'!$A43:$IU43,"AAAAAHW/tmg=",0)</f>
        <v>#VALUE!</v>
      </c>
      <c r="DB3" s="66" t="str">
        <f>AND('Conciliación Bancaria'!A43,"AAAAAHW/tmk=")</f>
        <v>#VALUE!</v>
      </c>
      <c r="DC3" s="66" t="str">
        <f>AND('Conciliación Bancaria'!B43,"AAAAAHW/tmo=")</f>
        <v>#VALUE!</v>
      </c>
      <c r="DD3" s="66" t="str">
        <f>AND('Conciliación Bancaria'!C43,"AAAAAHW/tms=")</f>
        <v>#VALUE!</v>
      </c>
      <c r="DE3" s="66" t="str">
        <f>AND('Conciliación Bancaria'!D43,"AAAAAHW/tmw=")</f>
        <v>#VALUE!</v>
      </c>
      <c r="DF3" s="66" t="str">
        <f>AND('Conciliación Bancaria'!E43,"AAAAAHW/tm0=")</f>
        <v>#VALUE!</v>
      </c>
      <c r="DG3" s="66" t="str">
        <f>AND('Conciliación Bancaria'!F43,"AAAAAHW/tm4=")</f>
        <v>#VALUE!</v>
      </c>
      <c r="DH3" s="66" t="str">
        <f>AND('Conciliación Bancaria'!G43,"AAAAAHW/tm8=")</f>
        <v>#VALUE!</v>
      </c>
      <c r="DI3" s="66" t="str">
        <f>AND('Conciliación Bancaria'!H43,"AAAAAHW/tnA=")</f>
        <v>#VALUE!</v>
      </c>
      <c r="DJ3" s="66" t="str">
        <f>AND('Conciliación Bancaria'!I43,"AAAAAHW/tnE=")</f>
        <v>#VALUE!</v>
      </c>
      <c r="DK3" s="66" t="str">
        <f>AND('Conciliación Bancaria'!J43,"AAAAAHW/tnI=")</f>
        <v>#VALUE!</v>
      </c>
      <c r="DL3" s="66" t="str">
        <f>AND('Conciliación Bancaria'!K43,"AAAAAHW/tnM=")</f>
        <v>#VALUE!</v>
      </c>
      <c r="DM3" s="66" t="str">
        <f>AND('Conciliación Bancaria'!L43,"AAAAAHW/tnQ=")</f>
        <v>#VALUE!</v>
      </c>
      <c r="DN3" s="66" t="str">
        <f>AND('Conciliación Bancaria'!M43,"AAAAAHW/tnU=")</f>
        <v>#VALUE!</v>
      </c>
      <c r="DO3" s="66" t="str">
        <f>IF('Conciliación Bancaria'!$A44:$IU44,"AAAAAHW/tnY=",0)</f>
        <v>#VALUE!</v>
      </c>
      <c r="DP3" s="66" t="str">
        <f>AND('Conciliación Bancaria'!A44,"AAAAAHW/tnc=")</f>
        <v>#VALUE!</v>
      </c>
      <c r="DQ3" s="66" t="str">
        <f>AND('Conciliación Bancaria'!B44,"AAAAAHW/tng=")</f>
        <v>#VALUE!</v>
      </c>
      <c r="DR3" s="66" t="str">
        <f>AND('Conciliación Bancaria'!C44,"AAAAAHW/tnk=")</f>
        <v>#VALUE!</v>
      </c>
      <c r="DS3" s="66" t="str">
        <f>AND('Conciliación Bancaria'!D44,"AAAAAHW/tno=")</f>
        <v>#VALUE!</v>
      </c>
      <c r="DT3" s="66" t="str">
        <f>AND('Conciliación Bancaria'!E44,"AAAAAHW/tns=")</f>
        <v>#VALUE!</v>
      </c>
      <c r="DU3" s="66" t="str">
        <f>AND('Conciliación Bancaria'!F44,"AAAAAHW/tnw=")</f>
        <v>#VALUE!</v>
      </c>
      <c r="DV3" s="66" t="str">
        <f>AND('Conciliación Bancaria'!G44,"AAAAAHW/tn0=")</f>
        <v>#VALUE!</v>
      </c>
      <c r="DW3" s="66" t="str">
        <f>AND('Conciliación Bancaria'!H44,"AAAAAHW/tn4=")</f>
        <v>#VALUE!</v>
      </c>
      <c r="DX3" s="66" t="str">
        <f>AND('Conciliación Bancaria'!I44,"AAAAAHW/tn8=")</f>
        <v>#VALUE!</v>
      </c>
      <c r="DY3" s="66" t="str">
        <f>AND('Conciliación Bancaria'!J44,"AAAAAHW/toA=")</f>
        <v>#VALUE!</v>
      </c>
      <c r="DZ3" s="66" t="str">
        <f>AND('Conciliación Bancaria'!K44,"AAAAAHW/toE=")</f>
        <v>#VALUE!</v>
      </c>
      <c r="EA3" s="66" t="str">
        <f>AND('Conciliación Bancaria'!L44,"AAAAAHW/toI=")</f>
        <v>#VALUE!</v>
      </c>
      <c r="EB3" s="66" t="str">
        <f>AND('Conciliación Bancaria'!M44,"AAAAAHW/toM=")</f>
        <v>#VALUE!</v>
      </c>
      <c r="EC3" s="66" t="str">
        <f>IF('Conciliación Bancaria'!$A45:$IU45,"AAAAAHW/toQ=",0)</f>
        <v>#VALUE!</v>
      </c>
      <c r="ED3" s="66" t="str">
        <f>AND('Conciliación Bancaria'!A45,"AAAAAHW/toU=")</f>
        <v>#VALUE!</v>
      </c>
      <c r="EE3" s="66" t="str">
        <f>AND('Conciliación Bancaria'!B45,"AAAAAHW/toY=")</f>
        <v>#VALUE!</v>
      </c>
      <c r="EF3" s="66" t="str">
        <f>AND('Conciliación Bancaria'!C45,"AAAAAHW/toc=")</f>
        <v>#VALUE!</v>
      </c>
      <c r="EG3" s="66" t="str">
        <f>AND('Conciliación Bancaria'!D45,"AAAAAHW/tog=")</f>
        <v>#VALUE!</v>
      </c>
      <c r="EH3" s="66" t="str">
        <f>AND('Conciliación Bancaria'!E45,"AAAAAHW/tok=")</f>
        <v>#VALUE!</v>
      </c>
      <c r="EI3" s="66" t="str">
        <f>AND('Conciliación Bancaria'!F45,"AAAAAHW/too=")</f>
        <v>#VALUE!</v>
      </c>
      <c r="EJ3" s="66" t="str">
        <f>AND('Conciliación Bancaria'!G45,"AAAAAHW/tos=")</f>
        <v>#VALUE!</v>
      </c>
      <c r="EK3" s="66" t="str">
        <f>AND('Conciliación Bancaria'!H45,"AAAAAHW/tow=")</f>
        <v>#VALUE!</v>
      </c>
      <c r="EL3" s="66" t="str">
        <f>AND('Conciliación Bancaria'!I45,"AAAAAHW/to0=")</f>
        <v>#VALUE!</v>
      </c>
      <c r="EM3" s="66" t="str">
        <f>AND('Conciliación Bancaria'!J45,"AAAAAHW/to4=")</f>
        <v>#VALUE!</v>
      </c>
      <c r="EN3" s="66" t="str">
        <f>AND('Conciliación Bancaria'!K45,"AAAAAHW/to8=")</f>
        <v>#VALUE!</v>
      </c>
      <c r="EO3" s="66" t="str">
        <f>AND('Conciliación Bancaria'!L45,"AAAAAHW/tpA=")</f>
        <v>#VALUE!</v>
      </c>
      <c r="EP3" s="66" t="str">
        <f>AND('Conciliación Bancaria'!M45,"AAAAAHW/tpE=")</f>
        <v>#VALUE!</v>
      </c>
      <c r="EQ3" s="66" t="str">
        <f>IF('Conciliación Bancaria'!$A46:$IU46,"AAAAAHW/tpI=",0)</f>
        <v>#VALUE!</v>
      </c>
      <c r="ER3" s="66" t="str">
        <f>AND('Conciliación Bancaria'!A46,"AAAAAHW/tpM=")</f>
        <v>#VALUE!</v>
      </c>
      <c r="ES3" s="66" t="str">
        <f>AND('Conciliación Bancaria'!B46,"AAAAAHW/tpQ=")</f>
        <v>#VALUE!</v>
      </c>
      <c r="ET3" s="66" t="str">
        <f>AND('Conciliación Bancaria'!C46,"AAAAAHW/tpU=")</f>
        <v>#VALUE!</v>
      </c>
      <c r="EU3" s="66" t="str">
        <f>AND('Conciliación Bancaria'!D46,"AAAAAHW/tpY=")</f>
        <v>#VALUE!</v>
      </c>
      <c r="EV3" s="66" t="str">
        <f>AND('Conciliación Bancaria'!E46,"AAAAAHW/tpc=")</f>
        <v>#VALUE!</v>
      </c>
      <c r="EW3" s="66" t="str">
        <f>AND('Conciliación Bancaria'!F46,"AAAAAHW/tpg=")</f>
        <v>#VALUE!</v>
      </c>
      <c r="EX3" s="66" t="str">
        <f>AND('Conciliación Bancaria'!G46,"AAAAAHW/tpk=")</f>
        <v>#VALUE!</v>
      </c>
      <c r="EY3" s="66" t="str">
        <f>AND('Conciliación Bancaria'!H46,"AAAAAHW/tpo=")</f>
        <v>#VALUE!</v>
      </c>
      <c r="EZ3" s="66" t="str">
        <f>AND('Conciliación Bancaria'!I46,"AAAAAHW/tps=")</f>
        <v>#VALUE!</v>
      </c>
      <c r="FA3" s="66" t="str">
        <f>AND('Conciliación Bancaria'!J46,"AAAAAHW/tpw=")</f>
        <v>#VALUE!</v>
      </c>
      <c r="FB3" s="66" t="str">
        <f>AND('Conciliación Bancaria'!K46,"AAAAAHW/tp0=")</f>
        <v>#VALUE!</v>
      </c>
      <c r="FC3" s="66" t="str">
        <f>AND('Conciliación Bancaria'!L46,"AAAAAHW/tp4=")</f>
        <v>#VALUE!</v>
      </c>
      <c r="FD3" s="66" t="str">
        <f>AND('Conciliación Bancaria'!M46,"AAAAAHW/tp8=")</f>
        <v>#VALUE!</v>
      </c>
      <c r="FE3" s="66" t="str">
        <f>IF('Conciliación Bancaria'!$A47:$IU47,"AAAAAHW/tqA=",0)</f>
        <v>#VALUE!</v>
      </c>
      <c r="FF3" s="66" t="str">
        <f>AND('Conciliación Bancaria'!A47,"AAAAAHW/tqE=")</f>
        <v>#VALUE!</v>
      </c>
      <c r="FG3" s="66" t="str">
        <f>AND('Conciliación Bancaria'!B47,"AAAAAHW/tqI=")</f>
        <v>#VALUE!</v>
      </c>
      <c r="FH3" s="66" t="str">
        <f>AND('Conciliación Bancaria'!C47,"AAAAAHW/tqM=")</f>
        <v>#VALUE!</v>
      </c>
      <c r="FI3" s="66" t="str">
        <f>AND('Conciliación Bancaria'!D47,"AAAAAHW/tqQ=")</f>
        <v>#VALUE!</v>
      </c>
      <c r="FJ3" s="66" t="str">
        <f>AND('Conciliación Bancaria'!E47,"AAAAAHW/tqU=")</f>
        <v>#VALUE!</v>
      </c>
      <c r="FK3" s="66" t="str">
        <f>AND('Conciliación Bancaria'!F47,"AAAAAHW/tqY=")</f>
        <v>#VALUE!</v>
      </c>
      <c r="FL3" s="66" t="str">
        <f>AND('Conciliación Bancaria'!G47,"AAAAAHW/tqc=")</f>
        <v>#VALUE!</v>
      </c>
      <c r="FM3" s="66" t="str">
        <f>AND('Conciliación Bancaria'!H47,"AAAAAHW/tqg=")</f>
        <v>#VALUE!</v>
      </c>
      <c r="FN3" s="66" t="str">
        <f>AND('Conciliación Bancaria'!I47,"AAAAAHW/tqk=")</f>
        <v>#VALUE!</v>
      </c>
      <c r="FO3" s="66" t="str">
        <f>AND('Conciliación Bancaria'!J47,"AAAAAHW/tqo=")</f>
        <v>#VALUE!</v>
      </c>
      <c r="FP3" s="66" t="str">
        <f>AND('Conciliación Bancaria'!K47,"AAAAAHW/tqs=")</f>
        <v>#VALUE!</v>
      </c>
      <c r="FQ3" s="66" t="str">
        <f>AND('Conciliación Bancaria'!L47,"AAAAAHW/tqw=")</f>
        <v>#VALUE!</v>
      </c>
      <c r="FR3" s="66" t="str">
        <f>AND('Conciliación Bancaria'!M47,"AAAAAHW/tq0=")</f>
        <v>#VALUE!</v>
      </c>
      <c r="FS3" s="66" t="str">
        <f>IF('Conciliación Bancaria'!$A48:$IU48,"AAAAAHW/tq4=",0)</f>
        <v>#VALUE!</v>
      </c>
      <c r="FT3" s="66" t="str">
        <f>AND('Conciliación Bancaria'!A48,"AAAAAHW/tq8=")</f>
        <v>#VALUE!</v>
      </c>
      <c r="FU3" s="66" t="str">
        <f>AND('Conciliación Bancaria'!B48,"AAAAAHW/trA=")</f>
        <v>#VALUE!</v>
      </c>
      <c r="FV3" s="66" t="str">
        <f>AND('Conciliación Bancaria'!C48,"AAAAAHW/trE=")</f>
        <v>#VALUE!</v>
      </c>
      <c r="FW3" s="66" t="str">
        <f>AND('Conciliación Bancaria'!D48,"AAAAAHW/trI=")</f>
        <v>#VALUE!</v>
      </c>
      <c r="FX3" s="66" t="str">
        <f>AND('Conciliación Bancaria'!E48,"AAAAAHW/trM=")</f>
        <v>#VALUE!</v>
      </c>
      <c r="FY3" s="66" t="str">
        <f>AND('Conciliación Bancaria'!F48,"AAAAAHW/trQ=")</f>
        <v>#VALUE!</v>
      </c>
      <c r="FZ3" s="66" t="str">
        <f>AND('Conciliación Bancaria'!G48,"AAAAAHW/trU=")</f>
        <v>#VALUE!</v>
      </c>
      <c r="GA3" s="66" t="str">
        <f>AND('Conciliación Bancaria'!H48,"AAAAAHW/trY=")</f>
        <v>#VALUE!</v>
      </c>
      <c r="GB3" s="66" t="str">
        <f>AND('Conciliación Bancaria'!I48,"AAAAAHW/trc=")</f>
        <v>#VALUE!</v>
      </c>
      <c r="GC3" s="66" t="str">
        <f>AND('Conciliación Bancaria'!J48,"AAAAAHW/trg=")</f>
        <v>#VALUE!</v>
      </c>
      <c r="GD3" s="66" t="str">
        <f>AND('Conciliación Bancaria'!K48,"AAAAAHW/trk=")</f>
        <v>#VALUE!</v>
      </c>
      <c r="GE3" s="66" t="str">
        <f>AND('Conciliación Bancaria'!L48,"AAAAAHW/tro=")</f>
        <v>#VALUE!</v>
      </c>
      <c r="GF3" s="66" t="str">
        <f>AND('Conciliación Bancaria'!M48,"AAAAAHW/trs=")</f>
        <v>#VALUE!</v>
      </c>
      <c r="GG3" s="66" t="str">
        <f>IF('Conciliación Bancaria'!$A49:$IU49,"AAAAAHW/trw=",0)</f>
        <v>#VALUE!</v>
      </c>
      <c r="GH3" s="66" t="str">
        <f>AND('Conciliación Bancaria'!A49,"AAAAAHW/tr0=")</f>
        <v>#VALUE!</v>
      </c>
      <c r="GI3" s="66" t="str">
        <f>AND('Conciliación Bancaria'!B49,"AAAAAHW/tr4=")</f>
        <v>#VALUE!</v>
      </c>
      <c r="GJ3" s="66" t="str">
        <f>AND('Conciliación Bancaria'!C49,"AAAAAHW/tr8=")</f>
        <v>#VALUE!</v>
      </c>
      <c r="GK3" s="66" t="str">
        <f>AND('Conciliación Bancaria'!D49,"AAAAAHW/tsA=")</f>
        <v>#VALUE!</v>
      </c>
      <c r="GL3" s="66" t="str">
        <f>AND('Conciliación Bancaria'!E49,"AAAAAHW/tsE=")</f>
        <v>#VALUE!</v>
      </c>
      <c r="GM3" s="66" t="str">
        <f>AND('Conciliación Bancaria'!F49,"AAAAAHW/tsI=")</f>
        <v>#VALUE!</v>
      </c>
      <c r="GN3" s="66" t="str">
        <f>AND('Conciliación Bancaria'!G49,"AAAAAHW/tsM=")</f>
        <v>#VALUE!</v>
      </c>
      <c r="GO3" s="66" t="str">
        <f>AND('Conciliación Bancaria'!H49,"AAAAAHW/tsQ=")</f>
        <v>#VALUE!</v>
      </c>
      <c r="GP3" s="66" t="str">
        <f>AND('Conciliación Bancaria'!I49,"AAAAAHW/tsU=")</f>
        <v>#VALUE!</v>
      </c>
      <c r="GQ3" s="66" t="str">
        <f>AND('Conciliación Bancaria'!J49,"AAAAAHW/tsY=")</f>
        <v>#VALUE!</v>
      </c>
      <c r="GR3" s="66" t="str">
        <f>AND('Conciliación Bancaria'!K49,"AAAAAHW/tsc=")</f>
        <v>#VALUE!</v>
      </c>
      <c r="GS3" s="66" t="str">
        <f>AND('Conciliación Bancaria'!L49,"AAAAAHW/tsg=")</f>
        <v>#VALUE!</v>
      </c>
      <c r="GT3" s="66" t="str">
        <f>AND('Conciliación Bancaria'!M49,"AAAAAHW/tsk=")</f>
        <v>#VALUE!</v>
      </c>
      <c r="GU3" s="66" t="str">
        <f>IF('Conciliación Bancaria'!$A50:$IU50,"AAAAAHW/tso=",0)</f>
        <v>#VALUE!</v>
      </c>
      <c r="GV3" s="66" t="str">
        <f>AND('Conciliación Bancaria'!A50,"AAAAAHW/tss=")</f>
        <v>#VALUE!</v>
      </c>
      <c r="GW3" s="66" t="str">
        <f>AND('Conciliación Bancaria'!B50,"AAAAAHW/tsw=")</f>
        <v>#VALUE!</v>
      </c>
      <c r="GX3" s="66" t="str">
        <f>AND('Conciliación Bancaria'!C50,"AAAAAHW/ts0=")</f>
        <v>#VALUE!</v>
      </c>
      <c r="GY3" s="66" t="str">
        <f>AND('Conciliación Bancaria'!D50,"AAAAAHW/ts4=")</f>
        <v>#VALUE!</v>
      </c>
      <c r="GZ3" s="66" t="str">
        <f>AND('Conciliación Bancaria'!E50,"AAAAAHW/ts8=")</f>
        <v>#VALUE!</v>
      </c>
      <c r="HA3" s="66" t="str">
        <f>AND('Conciliación Bancaria'!F50,"AAAAAHW/ttA=")</f>
        <v>#VALUE!</v>
      </c>
      <c r="HB3" s="66" t="str">
        <f>AND('Conciliación Bancaria'!G50,"AAAAAHW/ttE=")</f>
        <v>#VALUE!</v>
      </c>
      <c r="HC3" s="66" t="str">
        <f>AND('Conciliación Bancaria'!H50,"AAAAAHW/ttI=")</f>
        <v>#VALUE!</v>
      </c>
      <c r="HD3" s="66" t="str">
        <f>AND('Conciliación Bancaria'!I50,"AAAAAHW/ttM=")</f>
        <v>#VALUE!</v>
      </c>
      <c r="HE3" s="66" t="str">
        <f>AND('Conciliación Bancaria'!J50,"AAAAAHW/ttQ=")</f>
        <v>#VALUE!</v>
      </c>
      <c r="HF3" s="66" t="str">
        <f>AND('Conciliación Bancaria'!K50,"AAAAAHW/ttU=")</f>
        <v>#VALUE!</v>
      </c>
      <c r="HG3" s="66" t="str">
        <f>AND('Conciliación Bancaria'!L50,"AAAAAHW/ttY=")</f>
        <v>#VALUE!</v>
      </c>
      <c r="HH3" s="66" t="str">
        <f>AND('Conciliación Bancaria'!M50,"AAAAAHW/ttc=")</f>
        <v>#VALUE!</v>
      </c>
      <c r="HI3" s="66" t="str">
        <f>IF('Conciliación Bancaria'!$A51:$IU51,"AAAAAHW/ttg=",0)</f>
        <v>#VALUE!</v>
      </c>
      <c r="HJ3" s="66" t="str">
        <f>AND('Conciliación Bancaria'!A51,"AAAAAHW/ttk=")</f>
        <v>#VALUE!</v>
      </c>
      <c r="HK3" s="66" t="str">
        <f>AND('Conciliación Bancaria'!B51,"AAAAAHW/tto=")</f>
        <v>#VALUE!</v>
      </c>
      <c r="HL3" s="66" t="str">
        <f>AND('Conciliación Bancaria'!C51,"AAAAAHW/tts=")</f>
        <v>#VALUE!</v>
      </c>
      <c r="HM3" s="66" t="str">
        <f>AND('Conciliación Bancaria'!D51,"AAAAAHW/ttw=")</f>
        <v>#VALUE!</v>
      </c>
      <c r="HN3" s="66" t="str">
        <f>AND('Conciliación Bancaria'!E51,"AAAAAHW/tt0=")</f>
        <v>#VALUE!</v>
      </c>
      <c r="HO3" s="66" t="str">
        <f>AND('Conciliación Bancaria'!F51,"AAAAAHW/tt4=")</f>
        <v>#VALUE!</v>
      </c>
      <c r="HP3" s="66" t="str">
        <f>AND('Conciliación Bancaria'!G51,"AAAAAHW/tt8=")</f>
        <v>#VALUE!</v>
      </c>
      <c r="HQ3" s="66" t="str">
        <f>AND('Conciliación Bancaria'!H51,"AAAAAHW/tuA=")</f>
        <v>#VALUE!</v>
      </c>
      <c r="HR3" s="66" t="str">
        <f>AND('Conciliación Bancaria'!I51,"AAAAAHW/tuE=")</f>
        <v>#VALUE!</v>
      </c>
      <c r="HS3" s="66" t="str">
        <f>AND('Conciliación Bancaria'!J51,"AAAAAHW/tuI=")</f>
        <v>#VALUE!</v>
      </c>
      <c r="HT3" s="66" t="str">
        <f>AND('Conciliación Bancaria'!K51,"AAAAAHW/tuM=")</f>
        <v>#VALUE!</v>
      </c>
      <c r="HU3" s="66" t="str">
        <f>AND('Conciliación Bancaria'!L51,"AAAAAHW/tuQ=")</f>
        <v>#VALUE!</v>
      </c>
      <c r="HV3" s="66" t="str">
        <f>AND('Conciliación Bancaria'!M51,"AAAAAHW/tuU=")</f>
        <v>#VALUE!</v>
      </c>
      <c r="HW3" s="66" t="str">
        <f>IF('Conciliación Bancaria'!$A52:$IU52,"AAAAAHW/tuY=",0)</f>
        <v>#VALUE!</v>
      </c>
      <c r="HX3" s="66" t="str">
        <f>AND('Conciliación Bancaria'!A52,"AAAAAHW/tuc=")</f>
        <v>#VALUE!</v>
      </c>
      <c r="HY3" s="66" t="str">
        <f>AND('Conciliación Bancaria'!B52,"AAAAAHW/tug=")</f>
        <v>#VALUE!</v>
      </c>
      <c r="HZ3" s="66" t="str">
        <f>AND('Conciliación Bancaria'!C52,"AAAAAHW/tuk=")</f>
        <v>#VALUE!</v>
      </c>
      <c r="IA3" s="66" t="str">
        <f>AND('Conciliación Bancaria'!D52,"AAAAAHW/tuo=")</f>
        <v>#VALUE!</v>
      </c>
      <c r="IB3" s="66" t="str">
        <f>AND('Conciliación Bancaria'!E52,"AAAAAHW/tus=")</f>
        <v>#VALUE!</v>
      </c>
      <c r="IC3" s="66" t="str">
        <f>AND('Conciliación Bancaria'!F52,"AAAAAHW/tuw=")</f>
        <v>#VALUE!</v>
      </c>
      <c r="ID3" s="66" t="str">
        <f>AND('Conciliación Bancaria'!G52,"AAAAAHW/tu0=")</f>
        <v>#VALUE!</v>
      </c>
      <c r="IE3" s="66" t="str">
        <f>AND('Conciliación Bancaria'!H52,"AAAAAHW/tu4=")</f>
        <v>#VALUE!</v>
      </c>
      <c r="IF3" s="66" t="str">
        <f>AND('Conciliación Bancaria'!I52,"AAAAAHW/tu8=")</f>
        <v>#VALUE!</v>
      </c>
      <c r="IG3" s="66" t="str">
        <f>AND('Conciliación Bancaria'!J52,"AAAAAHW/tvA=")</f>
        <v>#VALUE!</v>
      </c>
      <c r="IH3" s="66" t="str">
        <f>AND('Conciliación Bancaria'!K52,"AAAAAHW/tvE=")</f>
        <v>#VALUE!</v>
      </c>
      <c r="II3" s="66" t="str">
        <f>AND('Conciliación Bancaria'!L52,"AAAAAHW/tvI=")</f>
        <v>#VALUE!</v>
      </c>
      <c r="IJ3" s="66" t="str">
        <f>AND('Conciliación Bancaria'!M52,"AAAAAHW/tvM=")</f>
        <v>#VALUE!</v>
      </c>
      <c r="IK3" s="66" t="str">
        <f>IF('Conciliación Bancaria'!$A53:$IU53,"AAAAAHW/tvQ=",0)</f>
        <v>#VALUE!</v>
      </c>
      <c r="IL3" s="66" t="str">
        <f>AND('Conciliación Bancaria'!A53,"AAAAAHW/tvU=")</f>
        <v>#VALUE!</v>
      </c>
      <c r="IM3" s="66" t="str">
        <f>AND('Conciliación Bancaria'!B53,"AAAAAHW/tvY=")</f>
        <v>#VALUE!</v>
      </c>
      <c r="IN3" s="66" t="str">
        <f>AND('Conciliación Bancaria'!C53,"AAAAAHW/tvc=")</f>
        <v>#VALUE!</v>
      </c>
      <c r="IO3" s="66" t="str">
        <f>AND('Conciliación Bancaria'!D53,"AAAAAHW/tvg=")</f>
        <v>#VALUE!</v>
      </c>
      <c r="IP3" s="66" t="str">
        <f>AND('Conciliación Bancaria'!E53,"AAAAAHW/tvk=")</f>
        <v>#VALUE!</v>
      </c>
      <c r="IQ3" s="66" t="str">
        <f>AND('Conciliación Bancaria'!F53,"AAAAAHW/tvo=")</f>
        <v>#VALUE!</v>
      </c>
      <c r="IR3" s="66" t="str">
        <f>AND('Conciliación Bancaria'!G53,"AAAAAHW/tvs=")</f>
        <v>#VALUE!</v>
      </c>
      <c r="IS3" s="66" t="str">
        <f>AND('Conciliación Bancaria'!H53,"AAAAAHW/tvw=")</f>
        <v>#VALUE!</v>
      </c>
      <c r="IT3" s="66" t="str">
        <f>AND('Conciliación Bancaria'!I53,"AAAAAHW/tv0=")</f>
        <v>#VALUE!</v>
      </c>
      <c r="IU3" s="66" t="str">
        <f>AND('Conciliación Bancaria'!J53,"AAAAAHW/tv4=")</f>
        <v>#VALUE!</v>
      </c>
      <c r="IV3" s="66" t="str">
        <f>AND('Conciliación Bancaria'!K53,"AAAAAHW/tv8=")</f>
        <v>#VALUE!</v>
      </c>
    </row>
    <row r="4" ht="12.75" customHeight="1">
      <c r="A4" s="66" t="str">
        <f>AND('Conciliación Bancaria'!L53,"AAAAAHufXwA=")</f>
        <v>#VALUE!</v>
      </c>
      <c r="B4" s="66" t="str">
        <f>AND('Conciliación Bancaria'!M53,"AAAAAHufXwE=")</f>
        <v>#VALUE!</v>
      </c>
      <c r="C4" s="66">
        <f>IF('Conciliación Bancaria'!$A54:$IU54,"AAAAAHufXwI=",0)</f>
        <v>0</v>
      </c>
      <c r="D4" s="66" t="str">
        <f>AND('Conciliación Bancaria'!A54,"AAAAAHufXwM=")</f>
        <v>#VALUE!</v>
      </c>
      <c r="E4" s="66" t="str">
        <f>AND('Conciliación Bancaria'!B54,"AAAAAHufXwQ=")</f>
        <v>#VALUE!</v>
      </c>
      <c r="F4" s="66" t="str">
        <f>AND('Conciliación Bancaria'!C54,"AAAAAHufXwU=")</f>
        <v>#VALUE!</v>
      </c>
      <c r="G4" s="66" t="str">
        <f>AND('Conciliación Bancaria'!D54,"AAAAAHufXwY=")</f>
        <v>#VALUE!</v>
      </c>
      <c r="H4" s="66" t="str">
        <f>AND('Conciliación Bancaria'!E54,"AAAAAHufXwc=")</f>
        <v>#VALUE!</v>
      </c>
      <c r="I4" s="66" t="str">
        <f>AND('Conciliación Bancaria'!F54,"AAAAAHufXwg=")</f>
        <v>#VALUE!</v>
      </c>
      <c r="J4" s="66" t="str">
        <f>AND('Conciliación Bancaria'!G54,"AAAAAHufXwk=")</f>
        <v>#VALUE!</v>
      </c>
      <c r="K4" s="66" t="str">
        <f>AND('Conciliación Bancaria'!H54,"AAAAAHufXwo=")</f>
        <v>#VALUE!</v>
      </c>
      <c r="L4" s="66" t="str">
        <f>AND('Conciliación Bancaria'!I54,"AAAAAHufXws=")</f>
        <v>#VALUE!</v>
      </c>
      <c r="M4" s="66" t="str">
        <f>AND('Conciliación Bancaria'!J54,"AAAAAHufXww=")</f>
        <v>#VALUE!</v>
      </c>
      <c r="N4" s="66" t="str">
        <f>AND('Conciliación Bancaria'!K54,"AAAAAHufXw0=")</f>
        <v>#VALUE!</v>
      </c>
      <c r="O4" s="66" t="str">
        <f>AND('Conciliación Bancaria'!L54,"AAAAAHufXw4=")</f>
        <v>#VALUE!</v>
      </c>
      <c r="P4" s="66" t="str">
        <f>AND('Conciliación Bancaria'!M54,"AAAAAHufXw8=")</f>
        <v>#VALUE!</v>
      </c>
      <c r="Q4" s="66">
        <f>IF('Conciliación Bancaria'!$A55:$IU55,"AAAAAHufXxA=",0)</f>
        <v>0</v>
      </c>
      <c r="R4" s="66" t="str">
        <f>AND('Conciliación Bancaria'!A55,"AAAAAHufXxE=")</f>
        <v>#VALUE!</v>
      </c>
      <c r="S4" s="66" t="str">
        <f>AND('Conciliación Bancaria'!B55,"AAAAAHufXxI=")</f>
        <v>#VALUE!</v>
      </c>
      <c r="T4" s="66" t="str">
        <f>AND('Conciliación Bancaria'!C55,"AAAAAHufXxM=")</f>
        <v>#VALUE!</v>
      </c>
      <c r="U4" s="66" t="str">
        <f>AND('Conciliación Bancaria'!D55,"AAAAAHufXxQ=")</f>
        <v>#VALUE!</v>
      </c>
      <c r="V4" s="66" t="str">
        <f>AND('Conciliación Bancaria'!E55,"AAAAAHufXxU=")</f>
        <v>#VALUE!</v>
      </c>
      <c r="W4" s="66" t="str">
        <f>AND('Conciliación Bancaria'!F55,"AAAAAHufXxY=")</f>
        <v>#VALUE!</v>
      </c>
      <c r="X4" s="66" t="str">
        <f>AND('Conciliación Bancaria'!G55,"AAAAAHufXxc=")</f>
        <v>#VALUE!</v>
      </c>
      <c r="Y4" s="66" t="str">
        <f>AND('Conciliación Bancaria'!H55,"AAAAAHufXxg=")</f>
        <v>#VALUE!</v>
      </c>
      <c r="Z4" s="66" t="str">
        <f>AND('Conciliación Bancaria'!I55,"AAAAAHufXxk=")</f>
        <v>#VALUE!</v>
      </c>
      <c r="AA4" s="66" t="str">
        <f>AND('Conciliación Bancaria'!J55,"AAAAAHufXxo=")</f>
        <v>#VALUE!</v>
      </c>
      <c r="AB4" s="66" t="str">
        <f>AND('Conciliación Bancaria'!K55,"AAAAAHufXxs=")</f>
        <v>#VALUE!</v>
      </c>
      <c r="AC4" s="66" t="str">
        <f>AND('Conciliación Bancaria'!L55,"AAAAAHufXxw=")</f>
        <v>#VALUE!</v>
      </c>
      <c r="AD4" s="66" t="str">
        <f>AND('Conciliación Bancaria'!M55,"AAAAAHufXx0=")</f>
        <v>#VALUE!</v>
      </c>
      <c r="AE4" s="66" t="str">
        <f>IF('Conciliación Bancaria'!$A56:$IU56,"AAAAAHufXx4=",0)</f>
        <v>#VALUE!</v>
      </c>
      <c r="AF4" s="66" t="str">
        <f>AND('Conciliación Bancaria'!A56,"AAAAAHufXx8=")</f>
        <v>#VALUE!</v>
      </c>
      <c r="AG4" s="66" t="str">
        <f>AND('Conciliación Bancaria'!B56,"AAAAAHufXyA=")</f>
        <v>#VALUE!</v>
      </c>
      <c r="AH4" s="66" t="str">
        <f>AND('Conciliación Bancaria'!C56,"AAAAAHufXyE=")</f>
        <v>#VALUE!</v>
      </c>
      <c r="AI4" s="66" t="str">
        <f>AND('Conciliación Bancaria'!D56,"AAAAAHufXyI=")</f>
        <v>#VALUE!</v>
      </c>
      <c r="AJ4" s="66" t="str">
        <f>AND('Conciliación Bancaria'!E56,"AAAAAHufXyM=")</f>
        <v>#VALUE!</v>
      </c>
      <c r="AK4" s="66" t="str">
        <f>AND('Conciliación Bancaria'!F56,"AAAAAHufXyQ=")</f>
        <v>#VALUE!</v>
      </c>
      <c r="AL4" s="66" t="str">
        <f>AND('Conciliación Bancaria'!G56,"AAAAAHufXyU=")</f>
        <v>#VALUE!</v>
      </c>
      <c r="AM4" s="66" t="str">
        <f>AND('Conciliación Bancaria'!H56,"AAAAAHufXyY=")</f>
        <v>#VALUE!</v>
      </c>
      <c r="AN4" s="66" t="str">
        <f>AND('Conciliación Bancaria'!I56,"AAAAAHufXyc=")</f>
        <v>#VALUE!</v>
      </c>
      <c r="AO4" s="66" t="str">
        <f>AND('Conciliación Bancaria'!J56,"AAAAAHufXyg=")</f>
        <v>#VALUE!</v>
      </c>
      <c r="AP4" s="66" t="str">
        <f>AND('Conciliación Bancaria'!K56,"AAAAAHufXyk=")</f>
        <v>#VALUE!</v>
      </c>
      <c r="AQ4" s="66" t="str">
        <f>AND('Conciliación Bancaria'!L56,"AAAAAHufXyo=")</f>
        <v>#VALUE!</v>
      </c>
      <c r="AR4" s="66" t="str">
        <f>AND('Conciliación Bancaria'!M56,"AAAAAHufXys=")</f>
        <v>#VALUE!</v>
      </c>
      <c r="AS4" s="66" t="str">
        <f>IF('Conciliación Bancaria'!$A57:$IU57,"AAAAAHufXyw=",0)</f>
        <v>#VALUE!</v>
      </c>
      <c r="AT4" s="66" t="str">
        <f>AND('Conciliación Bancaria'!A57,"AAAAAHufXy0=")</f>
        <v>#VALUE!</v>
      </c>
      <c r="AU4" s="66" t="str">
        <f>AND('Conciliación Bancaria'!B57,"AAAAAHufXy4=")</f>
        <v>#VALUE!</v>
      </c>
      <c r="AV4" s="66" t="str">
        <f>AND('Conciliación Bancaria'!C57,"AAAAAHufXy8=")</f>
        <v>#VALUE!</v>
      </c>
      <c r="AW4" s="66" t="str">
        <f>AND('Conciliación Bancaria'!D57,"AAAAAHufXzA=")</f>
        <v>#VALUE!</v>
      </c>
      <c r="AX4" s="66" t="str">
        <f>AND('Conciliación Bancaria'!E57,"AAAAAHufXzE=")</f>
        <v>#VALUE!</v>
      </c>
      <c r="AY4" s="66" t="str">
        <f>AND('Conciliación Bancaria'!F57,"AAAAAHufXzI=")</f>
        <v>#VALUE!</v>
      </c>
      <c r="AZ4" s="66" t="str">
        <f>AND('Conciliación Bancaria'!G57,"AAAAAHufXzM=")</f>
        <v>#VALUE!</v>
      </c>
      <c r="BA4" s="66" t="str">
        <f>AND('Conciliación Bancaria'!H57,"AAAAAHufXzQ=")</f>
        <v>#VALUE!</v>
      </c>
      <c r="BB4" s="66" t="str">
        <f>AND('Conciliación Bancaria'!I57,"AAAAAHufXzU=")</f>
        <v>#VALUE!</v>
      </c>
      <c r="BC4" s="66" t="str">
        <f>AND('Conciliación Bancaria'!J57,"AAAAAHufXzY=")</f>
        <v>#VALUE!</v>
      </c>
      <c r="BD4" s="66" t="str">
        <f>AND('Conciliación Bancaria'!K57,"AAAAAHufXzc=")</f>
        <v>#VALUE!</v>
      </c>
      <c r="BE4" s="66" t="str">
        <f>AND('Conciliación Bancaria'!L57,"AAAAAHufXzg=")</f>
        <v>#VALUE!</v>
      </c>
      <c r="BF4" s="66" t="str">
        <f>AND('Conciliación Bancaria'!M57,"AAAAAHufXzk=")</f>
        <v>#VALUE!</v>
      </c>
      <c r="BG4" s="66" t="str">
        <f>IF('Conciliación Bancaria'!$A58:$IU58,"AAAAAHufXzo=",0)</f>
        <v>#VALUE!</v>
      </c>
      <c r="BH4" s="66" t="str">
        <f>AND('Conciliación Bancaria'!A58,"AAAAAHufXzs=")</f>
        <v>#VALUE!</v>
      </c>
      <c r="BI4" s="66" t="str">
        <f>AND('Conciliación Bancaria'!B58,"AAAAAHufXzw=")</f>
        <v>#VALUE!</v>
      </c>
      <c r="BJ4" s="66" t="str">
        <f>AND('Conciliación Bancaria'!C58,"AAAAAHufXz0=")</f>
        <v>#VALUE!</v>
      </c>
      <c r="BK4" s="66" t="str">
        <f>AND('Conciliación Bancaria'!D58,"AAAAAHufXz4=")</f>
        <v>#VALUE!</v>
      </c>
      <c r="BL4" s="66" t="str">
        <f>AND('Conciliación Bancaria'!E58,"AAAAAHufXz8=")</f>
        <v>#VALUE!</v>
      </c>
      <c r="BM4" s="66" t="str">
        <f>AND('Conciliación Bancaria'!F58,"AAAAAHufX0A=")</f>
        <v>#VALUE!</v>
      </c>
      <c r="BN4" s="66" t="str">
        <f>AND('Conciliación Bancaria'!G58,"AAAAAHufX0E=")</f>
        <v>#VALUE!</v>
      </c>
      <c r="BO4" s="66" t="str">
        <f>AND('Conciliación Bancaria'!H58,"AAAAAHufX0I=")</f>
        <v>#VALUE!</v>
      </c>
      <c r="BP4" s="66" t="str">
        <f>AND('Conciliación Bancaria'!I58,"AAAAAHufX0M=")</f>
        <v>#VALUE!</v>
      </c>
      <c r="BQ4" s="66" t="str">
        <f>AND('Conciliación Bancaria'!J58,"AAAAAHufX0Q=")</f>
        <v>#VALUE!</v>
      </c>
      <c r="BR4" s="66" t="str">
        <f>AND('Conciliación Bancaria'!K58,"AAAAAHufX0U=")</f>
        <v>#VALUE!</v>
      </c>
      <c r="BS4" s="66" t="str">
        <f>AND('Conciliación Bancaria'!L58,"AAAAAHufX0Y=")</f>
        <v>#VALUE!</v>
      </c>
      <c r="BT4" s="66" t="str">
        <f>AND('Conciliación Bancaria'!M58,"AAAAAHufX0c=")</f>
        <v>#VALUE!</v>
      </c>
      <c r="BU4" s="66" t="str">
        <f>IF('Conciliación Bancaria'!$A59:$IU59,"AAAAAHufX0g=",0)</f>
        <v>#VALUE!</v>
      </c>
      <c r="BV4" s="66" t="str">
        <f>AND('Conciliación Bancaria'!A59,"AAAAAHufX0k=")</f>
        <v>#VALUE!</v>
      </c>
      <c r="BW4" s="66" t="str">
        <f>AND('Conciliación Bancaria'!B59,"AAAAAHufX0o=")</f>
        <v>#VALUE!</v>
      </c>
      <c r="BX4" s="66" t="str">
        <f>AND('Conciliación Bancaria'!C59,"AAAAAHufX0s=")</f>
        <v>#VALUE!</v>
      </c>
      <c r="BY4" s="66" t="str">
        <f>AND('Conciliación Bancaria'!D59,"AAAAAHufX0w=")</f>
        <v>#VALUE!</v>
      </c>
      <c r="BZ4" s="66" t="str">
        <f>AND('Conciliación Bancaria'!E59,"AAAAAHufX00=")</f>
        <v>#VALUE!</v>
      </c>
      <c r="CA4" s="66" t="str">
        <f>AND('Conciliación Bancaria'!F59,"AAAAAHufX04=")</f>
        <v>#VALUE!</v>
      </c>
      <c r="CB4" s="66" t="str">
        <f>AND('Conciliación Bancaria'!G59,"AAAAAHufX08=")</f>
        <v>#VALUE!</v>
      </c>
      <c r="CC4" s="66" t="str">
        <f>AND('Conciliación Bancaria'!H59,"AAAAAHufX1A=")</f>
        <v>#VALUE!</v>
      </c>
      <c r="CD4" s="66" t="str">
        <f>AND('Conciliación Bancaria'!I59,"AAAAAHufX1E=")</f>
        <v>#VALUE!</v>
      </c>
      <c r="CE4" s="66" t="str">
        <f>AND('Conciliación Bancaria'!J59,"AAAAAHufX1I=")</f>
        <v>#VALUE!</v>
      </c>
      <c r="CF4" s="66" t="str">
        <f>AND('Conciliación Bancaria'!K59,"AAAAAHufX1M=")</f>
        <v>#VALUE!</v>
      </c>
      <c r="CG4" s="66" t="str">
        <f>AND('Conciliación Bancaria'!L59,"AAAAAHufX1Q=")</f>
        <v>#VALUE!</v>
      </c>
      <c r="CH4" s="66" t="str">
        <f>AND('Conciliación Bancaria'!M59,"AAAAAHufX1U=")</f>
        <v>#VALUE!</v>
      </c>
      <c r="CI4" s="66" t="str">
        <f>IF('Conciliación Bancaria'!$A60:$IU60,"AAAAAHufX1Y=",0)</f>
        <v>#VALUE!</v>
      </c>
      <c r="CJ4" s="66" t="str">
        <f>AND('Conciliación Bancaria'!A60,"AAAAAHufX1c=")</f>
        <v>#VALUE!</v>
      </c>
      <c r="CK4" s="66" t="str">
        <f>AND('Conciliación Bancaria'!B60,"AAAAAHufX1g=")</f>
        <v>#VALUE!</v>
      </c>
      <c r="CL4" s="66" t="str">
        <f>AND('Conciliación Bancaria'!C60,"AAAAAHufX1k=")</f>
        <v>#VALUE!</v>
      </c>
      <c r="CM4" s="66" t="str">
        <f>AND('Conciliación Bancaria'!D60,"AAAAAHufX1o=")</f>
        <v>#VALUE!</v>
      </c>
      <c r="CN4" s="66" t="str">
        <f>AND('Conciliación Bancaria'!E60,"AAAAAHufX1s=")</f>
        <v>#VALUE!</v>
      </c>
      <c r="CO4" s="66" t="str">
        <f>AND('Conciliación Bancaria'!F60,"AAAAAHufX1w=")</f>
        <v>#VALUE!</v>
      </c>
      <c r="CP4" s="66" t="str">
        <f>AND('Conciliación Bancaria'!G60,"AAAAAHufX10=")</f>
        <v>#VALUE!</v>
      </c>
      <c r="CQ4" s="66" t="str">
        <f>AND('Conciliación Bancaria'!H60,"AAAAAHufX14=")</f>
        <v>#VALUE!</v>
      </c>
      <c r="CR4" s="66" t="str">
        <f>AND('Conciliación Bancaria'!I60,"AAAAAHufX18=")</f>
        <v>#VALUE!</v>
      </c>
      <c r="CS4" s="66" t="str">
        <f>AND('Conciliación Bancaria'!J60,"AAAAAHufX2A=")</f>
        <v>#VALUE!</v>
      </c>
      <c r="CT4" s="66" t="str">
        <f>AND('Conciliación Bancaria'!K60,"AAAAAHufX2E=")</f>
        <v>#VALUE!</v>
      </c>
      <c r="CU4" s="66" t="str">
        <f>AND('Conciliación Bancaria'!L60,"AAAAAHufX2I=")</f>
        <v>#VALUE!</v>
      </c>
      <c r="CV4" s="66" t="str">
        <f>AND('Conciliación Bancaria'!M60,"AAAAAHufX2M=")</f>
        <v>#VALUE!</v>
      </c>
      <c r="CW4" s="66" t="str">
        <f>IF('Conciliación Bancaria'!$A61:$IU61,"AAAAAHufX2Q=",0)</f>
        <v>#VALUE!</v>
      </c>
      <c r="CX4" s="66" t="str">
        <f>AND('Conciliación Bancaria'!A61,"AAAAAHufX2U=")</f>
        <v>#VALUE!</v>
      </c>
      <c r="CY4" s="66" t="str">
        <f>AND('Conciliación Bancaria'!B61,"AAAAAHufX2Y=")</f>
        <v>#VALUE!</v>
      </c>
      <c r="CZ4" s="66" t="str">
        <f>AND('Conciliación Bancaria'!C61,"AAAAAHufX2c=")</f>
        <v>#VALUE!</v>
      </c>
      <c r="DA4" s="66" t="str">
        <f>AND('Conciliación Bancaria'!D61,"AAAAAHufX2g=")</f>
        <v>#VALUE!</v>
      </c>
      <c r="DB4" s="66" t="str">
        <f>AND('Conciliación Bancaria'!E61,"AAAAAHufX2k=")</f>
        <v>#VALUE!</v>
      </c>
      <c r="DC4" s="66" t="str">
        <f>AND('Conciliación Bancaria'!F61,"AAAAAHufX2o=")</f>
        <v>#VALUE!</v>
      </c>
      <c r="DD4" s="66" t="str">
        <f>AND('Conciliación Bancaria'!G61,"AAAAAHufX2s=")</f>
        <v>#VALUE!</v>
      </c>
      <c r="DE4" s="66" t="str">
        <f>AND('Conciliación Bancaria'!H61,"AAAAAHufX2w=")</f>
        <v>#VALUE!</v>
      </c>
      <c r="DF4" s="66" t="str">
        <f>AND('Conciliación Bancaria'!I61,"AAAAAHufX20=")</f>
        <v>#VALUE!</v>
      </c>
      <c r="DG4" s="66" t="str">
        <f>AND('Conciliación Bancaria'!J61,"AAAAAHufX24=")</f>
        <v>#VALUE!</v>
      </c>
      <c r="DH4" s="66" t="str">
        <f>AND('Conciliación Bancaria'!K61,"AAAAAHufX28=")</f>
        <v>#VALUE!</v>
      </c>
      <c r="DI4" s="66" t="str">
        <f>AND('Conciliación Bancaria'!L61,"AAAAAHufX3A=")</f>
        <v>#VALUE!</v>
      </c>
      <c r="DJ4" s="66" t="str">
        <f>AND('Conciliación Bancaria'!M61,"AAAAAHufX3E=")</f>
        <v>#VALUE!</v>
      </c>
      <c r="DK4" s="66" t="str">
        <f>IF('Conciliación Bancaria'!$A62:$IU62,"AAAAAHufX3I=",0)</f>
        <v>#VALUE!</v>
      </c>
      <c r="DL4" s="66" t="str">
        <f>AND('Conciliación Bancaria'!A62,"AAAAAHufX3M=")</f>
        <v>#VALUE!</v>
      </c>
      <c r="DM4" s="66" t="str">
        <f>AND('Conciliación Bancaria'!B62,"AAAAAHufX3Q=")</f>
        <v>#VALUE!</v>
      </c>
      <c r="DN4" s="66" t="str">
        <f>AND('Conciliación Bancaria'!C62,"AAAAAHufX3U=")</f>
        <v>#VALUE!</v>
      </c>
      <c r="DO4" s="66" t="str">
        <f>AND('Conciliación Bancaria'!D62,"AAAAAHufX3Y=")</f>
        <v>#VALUE!</v>
      </c>
      <c r="DP4" s="66" t="str">
        <f>AND('Conciliación Bancaria'!E62,"AAAAAHufX3c=")</f>
        <v>#VALUE!</v>
      </c>
      <c r="DQ4" s="66" t="str">
        <f>AND('Conciliación Bancaria'!F62,"AAAAAHufX3g=")</f>
        <v>#VALUE!</v>
      </c>
      <c r="DR4" s="66" t="str">
        <f>AND('Conciliación Bancaria'!G62,"AAAAAHufX3k=")</f>
        <v>#VALUE!</v>
      </c>
      <c r="DS4" s="66" t="str">
        <f>AND('Conciliación Bancaria'!H62,"AAAAAHufX3o=")</f>
        <v>#VALUE!</v>
      </c>
      <c r="DT4" s="66" t="str">
        <f>AND('Conciliación Bancaria'!I62,"AAAAAHufX3s=")</f>
        <v>#VALUE!</v>
      </c>
      <c r="DU4" s="66" t="str">
        <f>AND('Conciliación Bancaria'!J62,"AAAAAHufX3w=")</f>
        <v>#VALUE!</v>
      </c>
      <c r="DV4" s="66" t="str">
        <f>AND('Conciliación Bancaria'!K62,"AAAAAHufX30=")</f>
        <v>#VALUE!</v>
      </c>
      <c r="DW4" s="66" t="str">
        <f>AND('Conciliación Bancaria'!L62,"AAAAAHufX34=")</f>
        <v>#VALUE!</v>
      </c>
      <c r="DX4" s="66" t="str">
        <f>AND('Conciliación Bancaria'!M62,"AAAAAHufX38=")</f>
        <v>#VALUE!</v>
      </c>
      <c r="DY4" s="66" t="str">
        <f>IF('Conciliación Bancaria'!$A63:$IU63,"AAAAAHufX4A=",0)</f>
        <v>#VALUE!</v>
      </c>
      <c r="DZ4" s="66" t="str">
        <f>AND('Conciliación Bancaria'!A63,"AAAAAHufX4E=")</f>
        <v>#VALUE!</v>
      </c>
      <c r="EA4" s="66" t="str">
        <f>AND('Conciliación Bancaria'!B63,"AAAAAHufX4I=")</f>
        <v>#VALUE!</v>
      </c>
      <c r="EB4" s="66" t="str">
        <f>AND('Conciliación Bancaria'!C63,"AAAAAHufX4M=")</f>
        <v>#VALUE!</v>
      </c>
      <c r="EC4" s="66" t="str">
        <f>AND('Conciliación Bancaria'!D63,"AAAAAHufX4Q=")</f>
        <v>#VALUE!</v>
      </c>
      <c r="ED4" s="66" t="str">
        <f>AND('Conciliación Bancaria'!E63,"AAAAAHufX4U=")</f>
        <v>#VALUE!</v>
      </c>
      <c r="EE4" s="66" t="str">
        <f>AND('Conciliación Bancaria'!F63,"AAAAAHufX4Y=")</f>
        <v>#VALUE!</v>
      </c>
      <c r="EF4" s="66" t="str">
        <f>AND('Conciliación Bancaria'!G63,"AAAAAHufX4c=")</f>
        <v>#VALUE!</v>
      </c>
      <c r="EG4" s="66" t="str">
        <f>AND('Conciliación Bancaria'!H63,"AAAAAHufX4g=")</f>
        <v>#VALUE!</v>
      </c>
      <c r="EH4" s="66" t="str">
        <f>AND('Conciliación Bancaria'!I63,"AAAAAHufX4k=")</f>
        <v>#VALUE!</v>
      </c>
      <c r="EI4" s="66" t="str">
        <f>AND('Conciliación Bancaria'!J63,"AAAAAHufX4o=")</f>
        <v>#VALUE!</v>
      </c>
      <c r="EJ4" s="66" t="str">
        <f>AND('Conciliación Bancaria'!K63,"AAAAAHufX4s=")</f>
        <v>#VALUE!</v>
      </c>
      <c r="EK4" s="66" t="str">
        <f>AND('Conciliación Bancaria'!L63,"AAAAAHufX4w=")</f>
        <v>#VALUE!</v>
      </c>
      <c r="EL4" s="66" t="str">
        <f>AND('Conciliación Bancaria'!M63,"AAAAAHufX40=")</f>
        <v>#VALUE!</v>
      </c>
      <c r="EM4" s="66" t="str">
        <f>IF('Conciliación Bancaria'!$A64:$IU64,"AAAAAHufX44=",0)</f>
        <v>#VALUE!</v>
      </c>
      <c r="EN4" s="66" t="str">
        <f>AND('Conciliación Bancaria'!A64,"AAAAAHufX48=")</f>
        <v>#VALUE!</v>
      </c>
      <c r="EO4" s="66" t="str">
        <f>AND('Conciliación Bancaria'!B64,"AAAAAHufX5A=")</f>
        <v>#VALUE!</v>
      </c>
      <c r="EP4" s="66" t="b">
        <f>AND('Conciliación Bancaria'!C64,"AAAAAHufX5E=")</f>
        <v>0</v>
      </c>
      <c r="EQ4" s="66" t="str">
        <f>AND('Conciliación Bancaria'!D64,"AAAAAHufX5I=")</f>
        <v>#VALUE!</v>
      </c>
      <c r="ER4" s="66" t="str">
        <f>AND('Conciliación Bancaria'!E64,"AAAAAHufX5M=")</f>
        <v>#VALUE!</v>
      </c>
      <c r="ES4" s="66" t="str">
        <f>AND('Conciliación Bancaria'!F64,"AAAAAHufX5Q=")</f>
        <v>#VALUE!</v>
      </c>
      <c r="ET4" s="66" t="str">
        <f>AND('Conciliación Bancaria'!G64,"AAAAAHufX5U=")</f>
        <v>#VALUE!</v>
      </c>
      <c r="EU4" s="66" t="str">
        <f>AND('Conciliación Bancaria'!H64,"AAAAAHufX5Y=")</f>
        <v>#VALUE!</v>
      </c>
      <c r="EV4" s="66" t="str">
        <f>AND('Conciliación Bancaria'!I64,"AAAAAHufX5c=")</f>
        <v>#VALUE!</v>
      </c>
      <c r="EW4" s="66" t="str">
        <f>AND('Conciliación Bancaria'!J64,"AAAAAHufX5g=")</f>
        <v>#VALUE!</v>
      </c>
      <c r="EX4" s="66" t="str">
        <f>AND('Conciliación Bancaria'!K64,"AAAAAHufX5k=")</f>
        <v>#VALUE!</v>
      </c>
      <c r="EY4" s="66" t="str">
        <f>AND('Conciliación Bancaria'!L64,"AAAAAHufX5o=")</f>
        <v>#VALUE!</v>
      </c>
      <c r="EZ4" s="66" t="str">
        <f>AND('Conciliación Bancaria'!M64,"AAAAAHufX5s=")</f>
        <v>#VALUE!</v>
      </c>
      <c r="FA4" s="66" t="str">
        <f>IF('Conciliación Bancaria'!$A65:$IU65,"AAAAAHufX5w=",0)</f>
        <v>#VALUE!</v>
      </c>
      <c r="FB4" s="66" t="str">
        <f>AND('Conciliación Bancaria'!A65,"AAAAAHufX50=")</f>
        <v>#VALUE!</v>
      </c>
      <c r="FC4" s="66" t="str">
        <f>AND('Conciliación Bancaria'!B65,"AAAAAHufX54=")</f>
        <v>#VALUE!</v>
      </c>
      <c r="FD4" s="66" t="str">
        <f>AND('Conciliación Bancaria'!C65,"AAAAAHufX58=")</f>
        <v>#VALUE!</v>
      </c>
      <c r="FE4" s="66" t="str">
        <f>AND('Conciliación Bancaria'!D65,"AAAAAHufX6A=")</f>
        <v>#VALUE!</v>
      </c>
      <c r="FF4" s="66" t="str">
        <f>AND('Conciliación Bancaria'!E65,"AAAAAHufX6E=")</f>
        <v>#VALUE!</v>
      </c>
      <c r="FG4" s="66" t="str">
        <f>AND('Conciliación Bancaria'!F65,"AAAAAHufX6I=")</f>
        <v>#VALUE!</v>
      </c>
      <c r="FH4" s="66" t="str">
        <f>AND('Conciliación Bancaria'!G65,"AAAAAHufX6M=")</f>
        <v>#VALUE!</v>
      </c>
      <c r="FI4" s="66" t="str">
        <f>AND('Conciliación Bancaria'!H65,"AAAAAHufX6Q=")</f>
        <v>#VALUE!</v>
      </c>
      <c r="FJ4" s="66" t="str">
        <f>AND('Conciliación Bancaria'!I65,"AAAAAHufX6U=")</f>
        <v>#VALUE!</v>
      </c>
      <c r="FK4" s="66" t="str">
        <f>AND('Conciliación Bancaria'!J65,"AAAAAHufX6Y=")</f>
        <v>#VALUE!</v>
      </c>
      <c r="FL4" s="66" t="str">
        <f>AND('Conciliación Bancaria'!K65,"AAAAAHufX6c=")</f>
        <v>#VALUE!</v>
      </c>
      <c r="FM4" s="66" t="str">
        <f>AND('Conciliación Bancaria'!L65,"AAAAAHufX6g=")</f>
        <v>#VALUE!</v>
      </c>
      <c r="FN4" s="66" t="str">
        <f>AND('Conciliación Bancaria'!M65,"AAAAAHufX6k=")</f>
        <v>#VALUE!</v>
      </c>
      <c r="FO4" s="66" t="str">
        <f>IF('Conciliación Bancaria'!$A66:$IU66,"AAAAAHufX6o=",0)</f>
        <v>#VALUE!</v>
      </c>
      <c r="FP4" s="66" t="str">
        <f>AND('Conciliación Bancaria'!A66,"AAAAAHufX6s=")</f>
        <v>#VALUE!</v>
      </c>
      <c r="FQ4" s="66" t="str">
        <f>AND('Conciliación Bancaria'!B66,"AAAAAHufX6w=")</f>
        <v>#VALUE!</v>
      </c>
      <c r="FR4" s="66" t="str">
        <f>AND('Conciliación Bancaria'!C66,"AAAAAHufX60=")</f>
        <v>#VALUE!</v>
      </c>
      <c r="FS4" s="66" t="str">
        <f>AND('Conciliación Bancaria'!D66,"AAAAAHufX64=")</f>
        <v>#VALUE!</v>
      </c>
      <c r="FT4" s="66" t="str">
        <f>AND('Conciliación Bancaria'!E66,"AAAAAHufX68=")</f>
        <v>#VALUE!</v>
      </c>
      <c r="FU4" s="66" t="str">
        <f>AND('Conciliación Bancaria'!F66,"AAAAAHufX7A=")</f>
        <v>#VALUE!</v>
      </c>
      <c r="FV4" s="66" t="str">
        <f>AND('Conciliación Bancaria'!G66,"AAAAAHufX7E=")</f>
        <v>#VALUE!</v>
      </c>
      <c r="FW4" s="66" t="str">
        <f>AND('Conciliación Bancaria'!H66,"AAAAAHufX7I=")</f>
        <v>#VALUE!</v>
      </c>
      <c r="FX4" s="66" t="str">
        <f>AND('Conciliación Bancaria'!I66,"AAAAAHufX7M=")</f>
        <v>#VALUE!</v>
      </c>
      <c r="FY4" s="66" t="str">
        <f>AND('Conciliación Bancaria'!J66,"AAAAAHufX7Q=")</f>
        <v>#VALUE!</v>
      </c>
      <c r="FZ4" s="66" t="str">
        <f>AND('Conciliación Bancaria'!K66,"AAAAAHufX7U=")</f>
        <v>#VALUE!</v>
      </c>
      <c r="GA4" s="66" t="str">
        <f>AND('Conciliación Bancaria'!L66,"AAAAAHufX7Y=")</f>
        <v>#VALUE!</v>
      </c>
      <c r="GB4" s="66" t="str">
        <f>AND('Conciliación Bancaria'!M66,"AAAAAHufX7c=")</f>
        <v>#VALUE!</v>
      </c>
      <c r="GC4" s="66" t="str">
        <f>IF('Conciliación Bancaria'!$A67:$IU67,"AAAAAHufX7g=",0)</f>
        <v>#VALUE!</v>
      </c>
      <c r="GD4" s="66" t="str">
        <f>AND('Conciliación Bancaria'!#REF!,"AAAAAHufX7k=")</f>
        <v>#ERROR!</v>
      </c>
      <c r="GE4" s="66" t="str">
        <f>AND('Conciliación Bancaria'!B67,"AAAAAHufX7o=")</f>
        <v>#VALUE!</v>
      </c>
      <c r="GF4" s="66" t="str">
        <f>AND('Conciliación Bancaria'!C67,"AAAAAHufX7s=")</f>
        <v>#VALUE!</v>
      </c>
      <c r="GG4" s="66" t="str">
        <f>AND('Conciliación Bancaria'!D67,"AAAAAHufX7w=")</f>
        <v>#VALUE!</v>
      </c>
      <c r="GH4" s="66" t="str">
        <f>AND('Conciliación Bancaria'!E67,"AAAAAHufX70=")</f>
        <v>#VALUE!</v>
      </c>
      <c r="GI4" s="66" t="str">
        <f>AND('Conciliación Bancaria'!F67,"AAAAAHufX74=")</f>
        <v>#VALUE!</v>
      </c>
      <c r="GJ4" s="66" t="str">
        <f>AND('Conciliación Bancaria'!G67,"AAAAAHufX78=")</f>
        <v>#VALUE!</v>
      </c>
      <c r="GK4" s="66" t="str">
        <f>AND('Conciliación Bancaria'!H67,"AAAAAHufX8A=")</f>
        <v>#VALUE!</v>
      </c>
      <c r="GL4" s="66" t="str">
        <f>AND('Conciliación Bancaria'!I67,"AAAAAHufX8E=")</f>
        <v>#VALUE!</v>
      </c>
      <c r="GM4" s="66" t="str">
        <f>AND('Conciliación Bancaria'!J67,"AAAAAHufX8I=")</f>
        <v>#VALUE!</v>
      </c>
      <c r="GN4" s="66" t="str">
        <f>AND('Conciliación Bancaria'!K67,"AAAAAHufX8M=")</f>
        <v>#VALUE!</v>
      </c>
      <c r="GO4" s="66" t="str">
        <f>AND('Conciliación Bancaria'!L67,"AAAAAHufX8Q=")</f>
        <v>#VALUE!</v>
      </c>
      <c r="GP4" s="66" t="str">
        <f>AND('Conciliación Bancaria'!M67,"AAAAAHufX8U=")</f>
        <v>#VALUE!</v>
      </c>
      <c r="GQ4" s="66" t="str">
        <f>IF('Conciliación Bancaria'!$A68:$IU68,"AAAAAHufX8Y=",0)</f>
        <v>#VALUE!</v>
      </c>
      <c r="GR4" s="66" t="str">
        <f>AND('Conciliación Bancaria'!A68,"AAAAAHufX8c=")</f>
        <v>#VALUE!</v>
      </c>
      <c r="GS4" s="66" t="str">
        <f>AND('Conciliación Bancaria'!B68,"AAAAAHufX8g=")</f>
        <v>#VALUE!</v>
      </c>
      <c r="GT4" s="66" t="str">
        <f>AND('Conciliación Bancaria'!C68,"AAAAAHufX8k=")</f>
        <v>#VALUE!</v>
      </c>
      <c r="GU4" s="66" t="str">
        <f>AND('Conciliación Bancaria'!D68,"AAAAAHufX8o=")</f>
        <v>#VALUE!</v>
      </c>
      <c r="GV4" s="66" t="str">
        <f>AND('Conciliación Bancaria'!E68,"AAAAAHufX8s=")</f>
        <v>#VALUE!</v>
      </c>
      <c r="GW4" s="66" t="str">
        <f>AND('Conciliación Bancaria'!F68,"AAAAAHufX8w=")</f>
        <v>#VALUE!</v>
      </c>
      <c r="GX4" s="66" t="str">
        <f>AND('Conciliación Bancaria'!G68,"AAAAAHufX80=")</f>
        <v>#VALUE!</v>
      </c>
      <c r="GY4" s="66" t="str">
        <f>AND('Conciliación Bancaria'!H68,"AAAAAHufX84=")</f>
        <v>#VALUE!</v>
      </c>
      <c r="GZ4" s="66" t="str">
        <f>AND('Conciliación Bancaria'!I68,"AAAAAHufX88=")</f>
        <v>#VALUE!</v>
      </c>
      <c r="HA4" s="66" t="str">
        <f>AND('Conciliación Bancaria'!J68,"AAAAAHufX9A=")</f>
        <v>#VALUE!</v>
      </c>
      <c r="HB4" s="66" t="str">
        <f>AND('Conciliación Bancaria'!K68,"AAAAAHufX9E=")</f>
        <v>#VALUE!</v>
      </c>
      <c r="HC4" s="66" t="str">
        <f>AND('Conciliación Bancaria'!L68,"AAAAAHufX9I=")</f>
        <v>#VALUE!</v>
      </c>
      <c r="HD4" s="66" t="str">
        <f>AND('Conciliación Bancaria'!M68,"AAAAAHufX9M=")</f>
        <v>#VALUE!</v>
      </c>
      <c r="HE4" s="66" t="str">
        <f>IF('Conciliación Bancaria'!$A69:$IU69,"AAAAAHufX9Q=",0)</f>
        <v>#VALUE!</v>
      </c>
      <c r="HF4" s="66" t="str">
        <f>AND('Conciliación Bancaria'!A69,"AAAAAHufX9U=")</f>
        <v>#VALUE!</v>
      </c>
      <c r="HG4" s="66" t="str">
        <f>AND('Conciliación Bancaria'!B69,"AAAAAHufX9Y=")</f>
        <v>#VALUE!</v>
      </c>
      <c r="HH4" s="66" t="str">
        <f>AND('Conciliación Bancaria'!C69,"AAAAAHufX9c=")</f>
        <v>#VALUE!</v>
      </c>
      <c r="HI4" s="66" t="str">
        <f>AND('Conciliación Bancaria'!D69,"AAAAAHufX9g=")</f>
        <v>#VALUE!</v>
      </c>
      <c r="HJ4" s="66" t="str">
        <f>AND('Conciliación Bancaria'!E69,"AAAAAHufX9k=")</f>
        <v>#VALUE!</v>
      </c>
      <c r="HK4" s="66" t="str">
        <f>AND('Conciliación Bancaria'!F69,"AAAAAHufX9o=")</f>
        <v>#VALUE!</v>
      </c>
      <c r="HL4" s="66" t="str">
        <f>AND('Conciliación Bancaria'!G69,"AAAAAHufX9s=")</f>
        <v>#VALUE!</v>
      </c>
      <c r="HM4" s="66" t="str">
        <f>AND('Conciliación Bancaria'!H69,"AAAAAHufX9w=")</f>
        <v>#VALUE!</v>
      </c>
      <c r="HN4" s="66" t="str">
        <f>AND('Conciliación Bancaria'!I69,"AAAAAHufX90=")</f>
        <v>#VALUE!</v>
      </c>
      <c r="HO4" s="66" t="str">
        <f>AND('Conciliación Bancaria'!J69,"AAAAAHufX94=")</f>
        <v>#VALUE!</v>
      </c>
      <c r="HP4" s="66" t="str">
        <f>AND('Conciliación Bancaria'!K69,"AAAAAHufX98=")</f>
        <v>#VALUE!</v>
      </c>
      <c r="HQ4" s="66" t="str">
        <f>AND('Conciliación Bancaria'!L69,"AAAAAHufX+A=")</f>
        <v>#VALUE!</v>
      </c>
      <c r="HR4" s="66" t="str">
        <f>AND('Conciliación Bancaria'!M69,"AAAAAHufX+E=")</f>
        <v>#VALUE!</v>
      </c>
      <c r="HS4" s="66" t="str">
        <f>IF('Conciliación Bancaria'!$A70:$IU70,"AAAAAHufX+I=",0)</f>
        <v>#VALUE!</v>
      </c>
      <c r="HT4" s="66" t="str">
        <f>AND('Conciliación Bancaria'!A70,"AAAAAHufX+M=")</f>
        <v>#VALUE!</v>
      </c>
      <c r="HU4" s="66" t="str">
        <f>AND('Conciliación Bancaria'!B70,"AAAAAHufX+Q=")</f>
        <v>#VALUE!</v>
      </c>
      <c r="HV4" s="66" t="str">
        <f>AND('Conciliación Bancaria'!C70,"AAAAAHufX+U=")</f>
        <v>#VALUE!</v>
      </c>
      <c r="HW4" s="66" t="str">
        <f>AND('Conciliación Bancaria'!D70,"AAAAAHufX+Y=")</f>
        <v>#VALUE!</v>
      </c>
      <c r="HX4" s="66" t="str">
        <f>AND('Conciliación Bancaria'!E70,"AAAAAHufX+c=")</f>
        <v>#VALUE!</v>
      </c>
      <c r="HY4" s="66" t="str">
        <f>AND('Conciliación Bancaria'!F70,"AAAAAHufX+g=")</f>
        <v>#VALUE!</v>
      </c>
      <c r="HZ4" s="66" t="str">
        <f>AND('Conciliación Bancaria'!G70,"AAAAAHufX+k=")</f>
        <v>#VALUE!</v>
      </c>
      <c r="IA4" s="66" t="str">
        <f>AND('Conciliación Bancaria'!H70,"AAAAAHufX+o=")</f>
        <v>#VALUE!</v>
      </c>
      <c r="IB4" s="66" t="str">
        <f>AND('Conciliación Bancaria'!I70,"AAAAAHufX+s=")</f>
        <v>#VALUE!</v>
      </c>
      <c r="IC4" s="66" t="str">
        <f>AND('Conciliación Bancaria'!J70,"AAAAAHufX+w=")</f>
        <v>#VALUE!</v>
      </c>
      <c r="ID4" s="66" t="str">
        <f>AND('Conciliación Bancaria'!K70,"AAAAAHufX+0=")</f>
        <v>#VALUE!</v>
      </c>
      <c r="IE4" s="66" t="str">
        <f>AND('Conciliación Bancaria'!L70,"AAAAAHufX+4=")</f>
        <v>#VALUE!</v>
      </c>
      <c r="IF4" s="66" t="str">
        <f>AND('Conciliación Bancaria'!M70,"AAAAAHufX+8=")</f>
        <v>#VALUE!</v>
      </c>
      <c r="IG4" s="66" t="str">
        <f>IF('Conciliación Bancaria'!$A71:$IU71,"AAAAAHufX/A=",0)</f>
        <v>#VALUE!</v>
      </c>
      <c r="IH4" s="66" t="str">
        <f>AND('Conciliación Bancaria'!A71,"AAAAAHufX/E=")</f>
        <v>#VALUE!</v>
      </c>
      <c r="II4" s="66" t="str">
        <f>AND('Conciliación Bancaria'!B71,"AAAAAHufX/I=")</f>
        <v>#VALUE!</v>
      </c>
      <c r="IJ4" s="66" t="str">
        <f>AND('Conciliación Bancaria'!C71,"AAAAAHufX/M=")</f>
        <v>#VALUE!</v>
      </c>
      <c r="IK4" s="66" t="str">
        <f>AND('Conciliación Bancaria'!D71,"AAAAAHufX/Q=")</f>
        <v>#VALUE!</v>
      </c>
      <c r="IL4" s="66" t="str">
        <f>AND('Conciliación Bancaria'!E71,"AAAAAHufX/U=")</f>
        <v>#VALUE!</v>
      </c>
      <c r="IM4" s="66" t="str">
        <f>AND('Conciliación Bancaria'!F71,"AAAAAHufX/Y=")</f>
        <v>#VALUE!</v>
      </c>
      <c r="IN4" s="66" t="str">
        <f>AND('Conciliación Bancaria'!G71,"AAAAAHufX/c=")</f>
        <v>#VALUE!</v>
      </c>
      <c r="IO4" s="66" t="str">
        <f>AND('Conciliación Bancaria'!H71,"AAAAAHufX/g=")</f>
        <v>#VALUE!</v>
      </c>
      <c r="IP4" s="66" t="str">
        <f>AND('Conciliación Bancaria'!I71,"AAAAAHufX/k=")</f>
        <v>#VALUE!</v>
      </c>
      <c r="IQ4" s="66" t="str">
        <f>AND('Conciliación Bancaria'!J71,"AAAAAHufX/o=")</f>
        <v>#VALUE!</v>
      </c>
      <c r="IR4" s="66" t="str">
        <f>AND('Conciliación Bancaria'!K71,"AAAAAHufX/s=")</f>
        <v>#VALUE!</v>
      </c>
      <c r="IS4" s="66" t="str">
        <f>AND('Conciliación Bancaria'!L71,"AAAAAHufX/w=")</f>
        <v>#VALUE!</v>
      </c>
      <c r="IT4" s="66" t="str">
        <f>AND('Conciliación Bancaria'!M71,"AAAAAHufX/0=")</f>
        <v>#VALUE!</v>
      </c>
      <c r="IU4" s="66" t="str">
        <f>IF('Conciliación Bancaria'!$A72:$IU72,"AAAAAHufX/4=",0)</f>
        <v>#VALUE!</v>
      </c>
      <c r="IV4" s="66" t="str">
        <f>AND('Conciliación Bancaria'!A72,"AAAAAHufX/8=")</f>
        <v>#VALUE!</v>
      </c>
    </row>
    <row r="5" ht="12.75" customHeight="1">
      <c r="A5" s="66" t="str">
        <f>AND('Conciliación Bancaria'!B72,"AAAAAFNb+wA=")</f>
        <v>#VALUE!</v>
      </c>
      <c r="B5" s="66" t="str">
        <f>AND('Conciliación Bancaria'!C72,"AAAAAFNb+wE=")</f>
        <v>#VALUE!</v>
      </c>
      <c r="C5" s="66" t="str">
        <f>AND('Conciliación Bancaria'!D72,"AAAAAFNb+wI=")</f>
        <v>#VALUE!</v>
      </c>
      <c r="D5" s="66" t="str">
        <f>AND('Conciliación Bancaria'!E72,"AAAAAFNb+wM=")</f>
        <v>#VALUE!</v>
      </c>
      <c r="E5" s="66" t="str">
        <f>AND('Conciliación Bancaria'!F72,"AAAAAFNb+wQ=")</f>
        <v>#VALUE!</v>
      </c>
      <c r="F5" s="66" t="str">
        <f>AND('Conciliación Bancaria'!G72,"AAAAAFNb+wU=")</f>
        <v>#VALUE!</v>
      </c>
      <c r="G5" s="66" t="str">
        <f>AND('Conciliación Bancaria'!H72,"AAAAAFNb+wY=")</f>
        <v>#VALUE!</v>
      </c>
      <c r="H5" s="66" t="str">
        <f>AND('Conciliación Bancaria'!I72,"AAAAAFNb+wc=")</f>
        <v>#VALUE!</v>
      </c>
      <c r="I5" s="66" t="str">
        <f>AND('Conciliación Bancaria'!J72,"AAAAAFNb+wg=")</f>
        <v>#VALUE!</v>
      </c>
      <c r="J5" s="66" t="str">
        <f>AND('Conciliación Bancaria'!K72,"AAAAAFNb+wk=")</f>
        <v>#VALUE!</v>
      </c>
      <c r="K5" s="66" t="str">
        <f>AND('Conciliación Bancaria'!L72,"AAAAAFNb+wo=")</f>
        <v>#VALUE!</v>
      </c>
      <c r="L5" s="66" t="str">
        <f>AND('Conciliación Bancaria'!M72,"AAAAAFNb+ws=")</f>
        <v>#VALUE!</v>
      </c>
      <c r="M5" s="66">
        <f>IF('Conciliación Bancaria'!$A73:$IU73,"AAAAAFNb+ww=",0)</f>
        <v>0</v>
      </c>
      <c r="N5" s="66" t="str">
        <f>AND('Conciliación Bancaria'!A73,"AAAAAFNb+w0=")</f>
        <v>#VALUE!</v>
      </c>
      <c r="O5" s="66" t="str">
        <f>AND('Conciliación Bancaria'!B73,"AAAAAFNb+w4=")</f>
        <v>#VALUE!</v>
      </c>
      <c r="P5" s="66" t="str">
        <f>AND('Conciliación Bancaria'!C73,"AAAAAFNb+w8=")</f>
        <v>#VALUE!</v>
      </c>
      <c r="Q5" s="66" t="str">
        <f>AND('Conciliación Bancaria'!D73,"AAAAAFNb+xA=")</f>
        <v>#VALUE!</v>
      </c>
      <c r="R5" s="66" t="str">
        <f>AND('Conciliación Bancaria'!E73,"AAAAAFNb+xE=")</f>
        <v>#VALUE!</v>
      </c>
      <c r="S5" s="66" t="str">
        <f>AND('Conciliación Bancaria'!F73,"AAAAAFNb+xI=")</f>
        <v>#VALUE!</v>
      </c>
      <c r="T5" s="66" t="str">
        <f>AND('Conciliación Bancaria'!G73,"AAAAAFNb+xM=")</f>
        <v>#VALUE!</v>
      </c>
      <c r="U5" s="66" t="str">
        <f>AND('Conciliación Bancaria'!H73,"AAAAAFNb+xQ=")</f>
        <v>#VALUE!</v>
      </c>
      <c r="V5" s="66" t="str">
        <f>AND('Conciliación Bancaria'!I73,"AAAAAFNb+xU=")</f>
        <v>#VALUE!</v>
      </c>
      <c r="W5" s="66" t="str">
        <f>AND('Conciliación Bancaria'!J73,"AAAAAFNb+xY=")</f>
        <v>#VALUE!</v>
      </c>
      <c r="X5" s="66" t="str">
        <f>AND('Conciliación Bancaria'!K73,"AAAAAFNb+xc=")</f>
        <v>#VALUE!</v>
      </c>
      <c r="Y5" s="66" t="str">
        <f>AND('Conciliación Bancaria'!L73,"AAAAAFNb+xg=")</f>
        <v>#VALUE!</v>
      </c>
      <c r="Z5" s="66" t="str">
        <f>AND('Conciliación Bancaria'!M73,"AAAAAFNb+xk=")</f>
        <v>#VALUE!</v>
      </c>
      <c r="AA5" s="66" t="str">
        <f>IF('Conciliación Bancaria'!$A74:$IU74,"AAAAAFNb+xo=",0)</f>
        <v>#VALUE!</v>
      </c>
      <c r="AB5" s="66" t="str">
        <f>AND('Conciliación Bancaria'!A74,"AAAAAFNb+xs=")</f>
        <v>#VALUE!</v>
      </c>
      <c r="AC5" s="66" t="str">
        <f>AND('Conciliación Bancaria'!B74,"AAAAAFNb+xw=")</f>
        <v>#VALUE!</v>
      </c>
      <c r="AD5" s="66" t="str">
        <f>AND('Conciliación Bancaria'!C74,"AAAAAFNb+x0=")</f>
        <v>#VALUE!</v>
      </c>
      <c r="AE5" s="66" t="str">
        <f>AND('Conciliación Bancaria'!D74,"AAAAAFNb+x4=")</f>
        <v>#VALUE!</v>
      </c>
      <c r="AF5" s="66" t="str">
        <f>AND('Conciliación Bancaria'!E74,"AAAAAFNb+x8=")</f>
        <v>#VALUE!</v>
      </c>
      <c r="AG5" s="66" t="str">
        <f>AND('Conciliación Bancaria'!F74,"AAAAAFNb+yA=")</f>
        <v>#VALUE!</v>
      </c>
      <c r="AH5" s="66" t="str">
        <f>AND('Conciliación Bancaria'!G74,"AAAAAFNb+yE=")</f>
        <v>#VALUE!</v>
      </c>
      <c r="AI5" s="66" t="str">
        <f>AND('Conciliación Bancaria'!H74,"AAAAAFNb+yI=")</f>
        <v>#VALUE!</v>
      </c>
      <c r="AJ5" s="66" t="str">
        <f>AND('Conciliación Bancaria'!I74,"AAAAAFNb+yM=")</f>
        <v>#VALUE!</v>
      </c>
      <c r="AK5" s="66" t="str">
        <f>AND('Conciliación Bancaria'!J74,"AAAAAFNb+yQ=")</f>
        <v>#VALUE!</v>
      </c>
      <c r="AL5" s="66" t="str">
        <f>AND('Conciliación Bancaria'!K74,"AAAAAFNb+yU=")</f>
        <v>#VALUE!</v>
      </c>
      <c r="AM5" s="66" t="str">
        <f>AND('Conciliación Bancaria'!L74,"AAAAAFNb+yY=")</f>
        <v>#VALUE!</v>
      </c>
      <c r="AN5" s="66" t="str">
        <f>AND('Conciliación Bancaria'!M74,"AAAAAFNb+yc=")</f>
        <v>#VALUE!</v>
      </c>
      <c r="AO5" s="66" t="str">
        <f>IF('Conciliación Bancaria'!$A75:$IU75,"AAAAAFNb+yg=",0)</f>
        <v>#VALUE!</v>
      </c>
      <c r="AP5" s="66" t="str">
        <f>AND('Conciliación Bancaria'!A75,"AAAAAFNb+yk=")</f>
        <v>#VALUE!</v>
      </c>
      <c r="AQ5" s="66" t="str">
        <f>AND('Conciliación Bancaria'!B75,"AAAAAFNb+yo=")</f>
        <v>#VALUE!</v>
      </c>
      <c r="AR5" s="66" t="str">
        <f>AND('Conciliación Bancaria'!C75,"AAAAAFNb+ys=")</f>
        <v>#VALUE!</v>
      </c>
      <c r="AS5" s="66" t="str">
        <f>AND('Conciliación Bancaria'!D75,"AAAAAFNb+yw=")</f>
        <v>#VALUE!</v>
      </c>
      <c r="AT5" s="66" t="str">
        <f>AND('Conciliación Bancaria'!E75,"AAAAAFNb+y0=")</f>
        <v>#VALUE!</v>
      </c>
      <c r="AU5" s="66" t="str">
        <f>AND('Conciliación Bancaria'!F75,"AAAAAFNb+y4=")</f>
        <v>#VALUE!</v>
      </c>
      <c r="AV5" s="66" t="str">
        <f>AND('Conciliación Bancaria'!G75,"AAAAAFNb+y8=")</f>
        <v>#VALUE!</v>
      </c>
      <c r="AW5" s="66" t="str">
        <f>AND('Conciliación Bancaria'!H75,"AAAAAFNb+zA=")</f>
        <v>#VALUE!</v>
      </c>
      <c r="AX5" s="66" t="str">
        <f>AND('Conciliación Bancaria'!I75,"AAAAAFNb+zE=")</f>
        <v>#VALUE!</v>
      </c>
      <c r="AY5" s="66" t="str">
        <f>AND('Conciliación Bancaria'!J75,"AAAAAFNb+zI=")</f>
        <v>#VALUE!</v>
      </c>
      <c r="AZ5" s="66" t="str">
        <f>AND('Conciliación Bancaria'!K75,"AAAAAFNb+zM=")</f>
        <v>#VALUE!</v>
      </c>
      <c r="BA5" s="66" t="str">
        <f>AND('Conciliación Bancaria'!L75,"AAAAAFNb+zQ=")</f>
        <v>#VALUE!</v>
      </c>
      <c r="BB5" s="66" t="str">
        <f>AND('Conciliación Bancaria'!M75,"AAAAAFNb+zU=")</f>
        <v>#VALUE!</v>
      </c>
      <c r="BC5" s="66" t="str">
        <f>IF('Conciliación Bancaria'!$A76:$IU76,"AAAAAFNb+zY=",0)</f>
        <v>#VALUE!</v>
      </c>
      <c r="BD5" s="66" t="str">
        <f>AND('Conciliación Bancaria'!A76,"AAAAAFNb+zc=")</f>
        <v>#VALUE!</v>
      </c>
      <c r="BE5" s="66" t="str">
        <f>AND('Conciliación Bancaria'!B76,"AAAAAFNb+zg=")</f>
        <v>#VALUE!</v>
      </c>
      <c r="BF5" s="66" t="str">
        <f>AND('Conciliación Bancaria'!C76,"AAAAAFNb+zk=")</f>
        <v>#VALUE!</v>
      </c>
      <c r="BG5" s="66" t="str">
        <f>AND('Conciliación Bancaria'!D76,"AAAAAFNb+zo=")</f>
        <v>#VALUE!</v>
      </c>
      <c r="BH5" s="66" t="str">
        <f>AND('Conciliación Bancaria'!E76,"AAAAAFNb+zs=")</f>
        <v>#VALUE!</v>
      </c>
      <c r="BI5" s="66" t="str">
        <f>AND('Conciliación Bancaria'!F76,"AAAAAFNb+zw=")</f>
        <v>#VALUE!</v>
      </c>
      <c r="BJ5" s="66" t="str">
        <f>AND('Conciliación Bancaria'!G76,"AAAAAFNb+z0=")</f>
        <v>#VALUE!</v>
      </c>
      <c r="BK5" s="66" t="str">
        <f>AND('Conciliación Bancaria'!H76,"AAAAAFNb+z4=")</f>
        <v>#VALUE!</v>
      </c>
      <c r="BL5" s="66" t="str">
        <f>AND('Conciliación Bancaria'!I76,"AAAAAFNb+z8=")</f>
        <v>#VALUE!</v>
      </c>
      <c r="BM5" s="66" t="str">
        <f>AND('Conciliación Bancaria'!J76,"AAAAAFNb+0A=")</f>
        <v>#VALUE!</v>
      </c>
      <c r="BN5" s="66" t="str">
        <f>AND('Conciliación Bancaria'!K76,"AAAAAFNb+0E=")</f>
        <v>#VALUE!</v>
      </c>
      <c r="BO5" s="66" t="str">
        <f>AND('Conciliación Bancaria'!L76,"AAAAAFNb+0I=")</f>
        <v>#VALUE!</v>
      </c>
      <c r="BP5" s="66" t="str">
        <f>AND('Conciliación Bancaria'!M76,"AAAAAFNb+0M=")</f>
        <v>#VALUE!</v>
      </c>
      <c r="BQ5" s="66" t="str">
        <f>IF('Conciliación Bancaria'!$A77:$IU77,"AAAAAFNb+0Q=",0)</f>
        <v>#VALUE!</v>
      </c>
      <c r="BR5" s="66" t="str">
        <f>AND('Conciliación Bancaria'!A77,"AAAAAFNb+0U=")</f>
        <v>#VALUE!</v>
      </c>
      <c r="BS5" s="66" t="str">
        <f>AND('Conciliación Bancaria'!B77,"AAAAAFNb+0Y=")</f>
        <v>#VALUE!</v>
      </c>
      <c r="BT5" s="66" t="str">
        <f>AND('Conciliación Bancaria'!C77,"AAAAAFNb+0c=")</f>
        <v>#VALUE!</v>
      </c>
      <c r="BU5" s="66" t="str">
        <f>AND('Conciliación Bancaria'!D77,"AAAAAFNb+0g=")</f>
        <v>#VALUE!</v>
      </c>
      <c r="BV5" s="66" t="str">
        <f>AND('Conciliación Bancaria'!E77,"AAAAAFNb+0k=")</f>
        <v>#VALUE!</v>
      </c>
      <c r="BW5" s="66" t="str">
        <f>AND('Conciliación Bancaria'!F77,"AAAAAFNb+0o=")</f>
        <v>#VALUE!</v>
      </c>
      <c r="BX5" s="66" t="str">
        <f>AND('Conciliación Bancaria'!G77,"AAAAAFNb+0s=")</f>
        <v>#VALUE!</v>
      </c>
      <c r="BY5" s="66" t="str">
        <f>AND('Conciliación Bancaria'!H77,"AAAAAFNb+0w=")</f>
        <v>#VALUE!</v>
      </c>
      <c r="BZ5" s="66" t="str">
        <f>AND('Conciliación Bancaria'!I77,"AAAAAFNb+00=")</f>
        <v>#VALUE!</v>
      </c>
      <c r="CA5" s="66" t="str">
        <f>AND('Conciliación Bancaria'!J77,"AAAAAFNb+04=")</f>
        <v>#VALUE!</v>
      </c>
      <c r="CB5" s="66" t="str">
        <f>AND('Conciliación Bancaria'!K77,"AAAAAFNb+08=")</f>
        <v>#VALUE!</v>
      </c>
      <c r="CC5" s="66" t="str">
        <f>AND('Conciliación Bancaria'!L77,"AAAAAFNb+1A=")</f>
        <v>#VALUE!</v>
      </c>
      <c r="CD5" s="66" t="str">
        <f>AND('Conciliación Bancaria'!M77,"AAAAAFNb+1E=")</f>
        <v>#VALUE!</v>
      </c>
      <c r="CE5" s="66" t="str">
        <f>IF('Conciliación Bancaria'!$A78:$IU78,"AAAAAFNb+1I=",0)</f>
        <v>#VALUE!</v>
      </c>
      <c r="CF5" s="66" t="str">
        <f>AND('Conciliación Bancaria'!A78,"AAAAAFNb+1M=")</f>
        <v>#VALUE!</v>
      </c>
      <c r="CG5" s="66" t="str">
        <f>AND('Conciliación Bancaria'!B78,"AAAAAFNb+1Q=")</f>
        <v>#VALUE!</v>
      </c>
      <c r="CH5" s="66" t="str">
        <f>AND('Conciliación Bancaria'!C78,"AAAAAFNb+1U=")</f>
        <v>#VALUE!</v>
      </c>
      <c r="CI5" s="66" t="str">
        <f>AND('Conciliación Bancaria'!D78,"AAAAAFNb+1Y=")</f>
        <v>#VALUE!</v>
      </c>
      <c r="CJ5" s="66" t="str">
        <f>AND('Conciliación Bancaria'!E78,"AAAAAFNb+1c=")</f>
        <v>#VALUE!</v>
      </c>
      <c r="CK5" s="66" t="str">
        <f>AND('Conciliación Bancaria'!F78,"AAAAAFNb+1g=")</f>
        <v>#VALUE!</v>
      </c>
      <c r="CL5" s="66" t="str">
        <f>AND('Conciliación Bancaria'!G78,"AAAAAFNb+1k=")</f>
        <v>#VALUE!</v>
      </c>
      <c r="CM5" s="66" t="str">
        <f>AND('Conciliación Bancaria'!H78,"AAAAAFNb+1o=")</f>
        <v>#VALUE!</v>
      </c>
      <c r="CN5" s="66" t="str">
        <f>AND('Conciliación Bancaria'!I78,"AAAAAFNb+1s=")</f>
        <v>#VALUE!</v>
      </c>
      <c r="CO5" s="66" t="str">
        <f>AND('Conciliación Bancaria'!J78,"AAAAAFNb+1w=")</f>
        <v>#VALUE!</v>
      </c>
      <c r="CP5" s="66" t="str">
        <f>AND('Conciliación Bancaria'!K78,"AAAAAFNb+10=")</f>
        <v>#VALUE!</v>
      </c>
      <c r="CQ5" s="66" t="str">
        <f>AND('Conciliación Bancaria'!L78,"AAAAAFNb+14=")</f>
        <v>#VALUE!</v>
      </c>
      <c r="CR5" s="66" t="str">
        <f>AND('Conciliación Bancaria'!M78,"AAAAAFNb+18=")</f>
        <v>#VALUE!</v>
      </c>
      <c r="CS5" s="66" t="str">
        <f>IF('Conciliación Bancaria'!$A79:$IU79,"AAAAAFNb+2A=",0)</f>
        <v>#VALUE!</v>
      </c>
      <c r="CT5" s="66" t="str">
        <f>AND('Conciliación Bancaria'!A79,"AAAAAFNb+2E=")</f>
        <v>#VALUE!</v>
      </c>
      <c r="CU5" s="66" t="str">
        <f>AND('Conciliación Bancaria'!B79,"AAAAAFNb+2I=")</f>
        <v>#VALUE!</v>
      </c>
      <c r="CV5" s="66" t="str">
        <f>AND('Conciliación Bancaria'!C79,"AAAAAFNb+2M=")</f>
        <v>#VALUE!</v>
      </c>
      <c r="CW5" s="66" t="str">
        <f>AND('Conciliación Bancaria'!D79,"AAAAAFNb+2Q=")</f>
        <v>#VALUE!</v>
      </c>
      <c r="CX5" s="66" t="str">
        <f>AND('Conciliación Bancaria'!E79,"AAAAAFNb+2U=")</f>
        <v>#VALUE!</v>
      </c>
      <c r="CY5" s="66" t="str">
        <f>AND('Conciliación Bancaria'!F79,"AAAAAFNb+2Y=")</f>
        <v>#VALUE!</v>
      </c>
      <c r="CZ5" s="66" t="str">
        <f>AND('Conciliación Bancaria'!G79,"AAAAAFNb+2c=")</f>
        <v>#VALUE!</v>
      </c>
      <c r="DA5" s="66" t="str">
        <f>AND('Conciliación Bancaria'!H79,"AAAAAFNb+2g=")</f>
        <v>#VALUE!</v>
      </c>
      <c r="DB5" s="66" t="str">
        <f>AND('Conciliación Bancaria'!I79,"AAAAAFNb+2k=")</f>
        <v>#VALUE!</v>
      </c>
      <c r="DC5" s="66" t="str">
        <f>AND('Conciliación Bancaria'!J79,"AAAAAFNb+2o=")</f>
        <v>#VALUE!</v>
      </c>
      <c r="DD5" s="66" t="str">
        <f>AND('Conciliación Bancaria'!K79,"AAAAAFNb+2s=")</f>
        <v>#VALUE!</v>
      </c>
      <c r="DE5" s="66" t="str">
        <f>AND('Conciliación Bancaria'!L79,"AAAAAFNb+2w=")</f>
        <v>#VALUE!</v>
      </c>
      <c r="DF5" s="66" t="str">
        <f>AND('Conciliación Bancaria'!M79,"AAAAAFNb+20=")</f>
        <v>#VALUE!</v>
      </c>
      <c r="DG5" s="66" t="str">
        <f>IF('Conciliación Bancaria'!$A80:$IU80,"AAAAAFNb+24=",0)</f>
        <v>#VALUE!</v>
      </c>
      <c r="DH5" s="66" t="str">
        <f>AND('Conciliación Bancaria'!A80,"AAAAAFNb+28=")</f>
        <v>#VALUE!</v>
      </c>
      <c r="DI5" s="66" t="str">
        <f>AND('Conciliación Bancaria'!B80,"AAAAAFNb+3A=")</f>
        <v>#VALUE!</v>
      </c>
      <c r="DJ5" s="66" t="str">
        <f>AND('Conciliación Bancaria'!C80,"AAAAAFNb+3E=")</f>
        <v>#VALUE!</v>
      </c>
      <c r="DK5" s="66" t="str">
        <f>AND('Conciliación Bancaria'!D80,"AAAAAFNb+3I=")</f>
        <v>#VALUE!</v>
      </c>
      <c r="DL5" s="66" t="str">
        <f>AND('Conciliación Bancaria'!E80,"AAAAAFNb+3M=")</f>
        <v>#VALUE!</v>
      </c>
      <c r="DM5" s="66" t="str">
        <f>AND('Conciliación Bancaria'!F80,"AAAAAFNb+3Q=")</f>
        <v>#VALUE!</v>
      </c>
      <c r="DN5" s="66" t="str">
        <f>AND('Conciliación Bancaria'!G80,"AAAAAFNb+3U=")</f>
        <v>#VALUE!</v>
      </c>
      <c r="DO5" s="66" t="str">
        <f>AND('Conciliación Bancaria'!H80,"AAAAAFNb+3Y=")</f>
        <v>#VALUE!</v>
      </c>
      <c r="DP5" s="66" t="str">
        <f>AND('Conciliación Bancaria'!I80,"AAAAAFNb+3c=")</f>
        <v>#VALUE!</v>
      </c>
      <c r="DQ5" s="66" t="str">
        <f>AND('Conciliación Bancaria'!J80,"AAAAAFNb+3g=")</f>
        <v>#VALUE!</v>
      </c>
      <c r="DR5" s="66" t="str">
        <f>AND('Conciliación Bancaria'!K80,"AAAAAFNb+3k=")</f>
        <v>#VALUE!</v>
      </c>
      <c r="DS5" s="66" t="str">
        <f>AND('Conciliación Bancaria'!L80,"AAAAAFNb+3o=")</f>
        <v>#VALUE!</v>
      </c>
      <c r="DT5" s="66" t="str">
        <f>AND('Conciliación Bancaria'!M80,"AAAAAFNb+3s=")</f>
        <v>#VALUE!</v>
      </c>
      <c r="DU5" s="66" t="str">
        <f>IF('Conciliación Bancaria'!$A81:$IU81,"AAAAAFNb+3w=",0)</f>
        <v>#VALUE!</v>
      </c>
      <c r="DV5" s="66" t="str">
        <f>AND('Conciliación Bancaria'!A81,"AAAAAFNb+30=")</f>
        <v>#VALUE!</v>
      </c>
      <c r="DW5" s="66" t="str">
        <f>AND('Conciliación Bancaria'!B81,"AAAAAFNb+34=")</f>
        <v>#VALUE!</v>
      </c>
      <c r="DX5" s="66" t="str">
        <f>AND('Conciliación Bancaria'!C81,"AAAAAFNb+38=")</f>
        <v>#VALUE!</v>
      </c>
      <c r="DY5" s="66" t="str">
        <f>AND('Conciliación Bancaria'!D81,"AAAAAFNb+4A=")</f>
        <v>#VALUE!</v>
      </c>
      <c r="DZ5" s="66" t="str">
        <f>AND('Conciliación Bancaria'!E81,"AAAAAFNb+4E=")</f>
        <v>#VALUE!</v>
      </c>
      <c r="EA5" s="66" t="str">
        <f>AND('Conciliación Bancaria'!F81,"AAAAAFNb+4I=")</f>
        <v>#VALUE!</v>
      </c>
      <c r="EB5" s="66" t="str">
        <f>AND('Conciliación Bancaria'!G81,"AAAAAFNb+4M=")</f>
        <v>#VALUE!</v>
      </c>
      <c r="EC5" s="66" t="str">
        <f>AND('Conciliación Bancaria'!H81,"AAAAAFNb+4Q=")</f>
        <v>#VALUE!</v>
      </c>
      <c r="ED5" s="66" t="str">
        <f>AND('Conciliación Bancaria'!I81,"AAAAAFNb+4U=")</f>
        <v>#VALUE!</v>
      </c>
      <c r="EE5" s="66" t="str">
        <f>AND('Conciliación Bancaria'!J81,"AAAAAFNb+4Y=")</f>
        <v>#VALUE!</v>
      </c>
      <c r="EF5" s="66" t="str">
        <f>AND('Conciliación Bancaria'!K81,"AAAAAFNb+4c=")</f>
        <v>#VALUE!</v>
      </c>
      <c r="EG5" s="66" t="str">
        <f>AND('Conciliación Bancaria'!L81,"AAAAAFNb+4g=")</f>
        <v>#VALUE!</v>
      </c>
      <c r="EH5" s="66" t="str">
        <f>AND('Conciliación Bancaria'!M81,"AAAAAFNb+4k=")</f>
        <v>#VALUE!</v>
      </c>
      <c r="EI5" s="66" t="str">
        <f>IF('Conciliación Bancaria'!$A82:$IU82,"AAAAAFNb+4o=",0)</f>
        <v>#VALUE!</v>
      </c>
      <c r="EJ5" s="66" t="str">
        <f>AND('Conciliación Bancaria'!A82,"AAAAAFNb+4s=")</f>
        <v>#VALUE!</v>
      </c>
      <c r="EK5" s="66" t="str">
        <f>AND('Conciliación Bancaria'!B82,"AAAAAFNb+4w=")</f>
        <v>#VALUE!</v>
      </c>
      <c r="EL5" s="66" t="str">
        <f>AND('Conciliación Bancaria'!C82,"AAAAAFNb+40=")</f>
        <v>#VALUE!</v>
      </c>
      <c r="EM5" s="66" t="str">
        <f>AND('Conciliación Bancaria'!D82,"AAAAAFNb+44=")</f>
        <v>#VALUE!</v>
      </c>
      <c r="EN5" s="66" t="str">
        <f>AND('Conciliación Bancaria'!E82,"AAAAAFNb+48=")</f>
        <v>#VALUE!</v>
      </c>
      <c r="EO5" s="66" t="str">
        <f>AND('Conciliación Bancaria'!F82,"AAAAAFNb+5A=")</f>
        <v>#VALUE!</v>
      </c>
      <c r="EP5" s="66" t="str">
        <f>AND('Conciliación Bancaria'!G82,"AAAAAFNb+5E=")</f>
        <v>#VALUE!</v>
      </c>
      <c r="EQ5" s="66" t="str">
        <f>AND('Conciliación Bancaria'!H82,"AAAAAFNb+5I=")</f>
        <v>#VALUE!</v>
      </c>
      <c r="ER5" s="66" t="str">
        <f>AND('Conciliación Bancaria'!I82,"AAAAAFNb+5M=")</f>
        <v>#VALUE!</v>
      </c>
      <c r="ES5" s="66" t="str">
        <f>AND('Conciliación Bancaria'!J82,"AAAAAFNb+5Q=")</f>
        <v>#VALUE!</v>
      </c>
      <c r="ET5" s="66" t="str">
        <f>AND('Conciliación Bancaria'!K82,"AAAAAFNb+5U=")</f>
        <v>#VALUE!</v>
      </c>
      <c r="EU5" s="66" t="str">
        <f>AND('Conciliación Bancaria'!L82,"AAAAAFNb+5Y=")</f>
        <v>#VALUE!</v>
      </c>
      <c r="EV5" s="66" t="str">
        <f>AND('Conciliación Bancaria'!M82,"AAAAAFNb+5c=")</f>
        <v>#VALUE!</v>
      </c>
      <c r="EW5" s="66" t="str">
        <f>IF('Conciliación Bancaria'!$A83:$IU83,"AAAAAFNb+5g=",0)</f>
        <v>#VALUE!</v>
      </c>
      <c r="EX5" s="66" t="str">
        <f>AND('Conciliación Bancaria'!A83,"AAAAAFNb+5k=")</f>
        <v>#VALUE!</v>
      </c>
      <c r="EY5" s="66" t="str">
        <f>AND('Conciliación Bancaria'!B83,"AAAAAFNb+5o=")</f>
        <v>#VALUE!</v>
      </c>
      <c r="EZ5" s="66" t="str">
        <f>AND('Conciliación Bancaria'!C83,"AAAAAFNb+5s=")</f>
        <v>#VALUE!</v>
      </c>
      <c r="FA5" s="66" t="str">
        <f>AND('Conciliación Bancaria'!D83,"AAAAAFNb+5w=")</f>
        <v>#VALUE!</v>
      </c>
      <c r="FB5" s="66" t="str">
        <f>AND('Conciliación Bancaria'!E83,"AAAAAFNb+50=")</f>
        <v>#VALUE!</v>
      </c>
      <c r="FC5" s="66" t="str">
        <f>AND('Conciliación Bancaria'!F83,"AAAAAFNb+54=")</f>
        <v>#VALUE!</v>
      </c>
      <c r="FD5" s="66" t="str">
        <f>AND('Conciliación Bancaria'!G83,"AAAAAFNb+58=")</f>
        <v>#VALUE!</v>
      </c>
      <c r="FE5" s="66" t="str">
        <f>AND('Conciliación Bancaria'!H83,"AAAAAFNb+6A=")</f>
        <v>#VALUE!</v>
      </c>
      <c r="FF5" s="66" t="str">
        <f>AND('Conciliación Bancaria'!I83,"AAAAAFNb+6E=")</f>
        <v>#VALUE!</v>
      </c>
      <c r="FG5" s="66" t="str">
        <f>AND('Conciliación Bancaria'!J83,"AAAAAFNb+6I=")</f>
        <v>#VALUE!</v>
      </c>
      <c r="FH5" s="66" t="str">
        <f>AND('Conciliación Bancaria'!K83,"AAAAAFNb+6M=")</f>
        <v>#VALUE!</v>
      </c>
      <c r="FI5" s="66" t="str">
        <f>AND('Conciliación Bancaria'!L83,"AAAAAFNb+6Q=")</f>
        <v>#VALUE!</v>
      </c>
      <c r="FJ5" s="66" t="str">
        <f>AND('Conciliación Bancaria'!M83,"AAAAAFNb+6U=")</f>
        <v>#VALUE!</v>
      </c>
      <c r="FK5" s="66" t="str">
        <f>IF('Conciliación Bancaria'!$A84:$IU84,"AAAAAFNb+6Y=",0)</f>
        <v>#VALUE!</v>
      </c>
      <c r="FL5" s="66" t="str">
        <f>AND('Conciliación Bancaria'!A84,"AAAAAFNb+6c=")</f>
        <v>#VALUE!</v>
      </c>
      <c r="FM5" s="66" t="str">
        <f>AND('Conciliación Bancaria'!B84,"AAAAAFNb+6g=")</f>
        <v>#VALUE!</v>
      </c>
      <c r="FN5" s="66" t="str">
        <f>AND('Conciliación Bancaria'!C84,"AAAAAFNb+6k=")</f>
        <v>#VALUE!</v>
      </c>
      <c r="FO5" s="66" t="str">
        <f>AND('Conciliación Bancaria'!D84,"AAAAAFNb+6o=")</f>
        <v>#VALUE!</v>
      </c>
      <c r="FP5" s="66" t="str">
        <f>AND('Conciliación Bancaria'!E84,"AAAAAFNb+6s=")</f>
        <v>#VALUE!</v>
      </c>
      <c r="FQ5" s="66" t="str">
        <f>AND('Conciliación Bancaria'!F84,"AAAAAFNb+6w=")</f>
        <v>#VALUE!</v>
      </c>
      <c r="FR5" s="66" t="str">
        <f>AND('Conciliación Bancaria'!G84,"AAAAAFNb+60=")</f>
        <v>#VALUE!</v>
      </c>
      <c r="FS5" s="66" t="str">
        <f>AND('Conciliación Bancaria'!H84,"AAAAAFNb+64=")</f>
        <v>#VALUE!</v>
      </c>
      <c r="FT5" s="66" t="str">
        <f>AND('Conciliación Bancaria'!I84,"AAAAAFNb+68=")</f>
        <v>#VALUE!</v>
      </c>
      <c r="FU5" s="66" t="str">
        <f>AND('Conciliación Bancaria'!J84,"AAAAAFNb+7A=")</f>
        <v>#VALUE!</v>
      </c>
      <c r="FV5" s="66" t="str">
        <f>AND('Conciliación Bancaria'!K84,"AAAAAFNb+7E=")</f>
        <v>#VALUE!</v>
      </c>
      <c r="FW5" s="66" t="str">
        <f>AND('Conciliación Bancaria'!L84,"AAAAAFNb+7I=")</f>
        <v>#VALUE!</v>
      </c>
      <c r="FX5" s="66" t="str">
        <f>AND('Conciliación Bancaria'!M84,"AAAAAFNb+7M=")</f>
        <v>#VALUE!</v>
      </c>
      <c r="FY5" s="66" t="str">
        <f>IF('Conciliación Bancaria'!$A85:$IU85,"AAAAAFNb+7Q=",0)</f>
        <v>#VALUE!</v>
      </c>
      <c r="FZ5" s="66" t="str">
        <f>AND('Conciliación Bancaria'!A85,"AAAAAFNb+7U=")</f>
        <v>#VALUE!</v>
      </c>
      <c r="GA5" s="66" t="str">
        <f>AND('Conciliación Bancaria'!B85,"AAAAAFNb+7Y=")</f>
        <v>#VALUE!</v>
      </c>
      <c r="GB5" s="66" t="str">
        <f>AND('Conciliación Bancaria'!C85,"AAAAAFNb+7c=")</f>
        <v>#VALUE!</v>
      </c>
      <c r="GC5" s="66" t="str">
        <f>AND('Conciliación Bancaria'!D85,"AAAAAFNb+7g=")</f>
        <v>#VALUE!</v>
      </c>
      <c r="GD5" s="66" t="str">
        <f>AND('Conciliación Bancaria'!E85,"AAAAAFNb+7k=")</f>
        <v>#VALUE!</v>
      </c>
      <c r="GE5" s="66" t="str">
        <f>AND('Conciliación Bancaria'!F85,"AAAAAFNb+7o=")</f>
        <v>#VALUE!</v>
      </c>
      <c r="GF5" s="66" t="str">
        <f>AND('Conciliación Bancaria'!G85,"AAAAAFNb+7s=")</f>
        <v>#VALUE!</v>
      </c>
      <c r="GG5" s="66" t="str">
        <f>AND('Conciliación Bancaria'!H85,"AAAAAFNb+7w=")</f>
        <v>#VALUE!</v>
      </c>
      <c r="GH5" s="66" t="str">
        <f>AND('Conciliación Bancaria'!I85,"AAAAAFNb+70=")</f>
        <v>#VALUE!</v>
      </c>
      <c r="GI5" s="66" t="str">
        <f>AND('Conciliación Bancaria'!J85,"AAAAAFNb+74=")</f>
        <v>#VALUE!</v>
      </c>
      <c r="GJ5" s="66" t="str">
        <f>AND('Conciliación Bancaria'!K85,"AAAAAFNb+78=")</f>
        <v>#VALUE!</v>
      </c>
      <c r="GK5" s="66" t="str">
        <f>AND('Conciliación Bancaria'!L85,"AAAAAFNb+8A=")</f>
        <v>#VALUE!</v>
      </c>
      <c r="GL5" s="66" t="str">
        <f>AND('Conciliación Bancaria'!M85,"AAAAAFNb+8E=")</f>
        <v>#VALUE!</v>
      </c>
      <c r="GM5" s="66" t="str">
        <f>IF('Conciliación Bancaria'!$A86:$IU86,"AAAAAFNb+8I=",0)</f>
        <v>#VALUE!</v>
      </c>
      <c r="GN5" s="66" t="str">
        <f>AND('Conciliación Bancaria'!A86,"AAAAAFNb+8M=")</f>
        <v>#VALUE!</v>
      </c>
      <c r="GO5" s="66" t="str">
        <f>AND('Conciliación Bancaria'!B86,"AAAAAFNb+8Q=")</f>
        <v>#VALUE!</v>
      </c>
      <c r="GP5" s="66" t="str">
        <f>AND('Conciliación Bancaria'!C86,"AAAAAFNb+8U=")</f>
        <v>#VALUE!</v>
      </c>
      <c r="GQ5" s="66" t="str">
        <f>AND('Conciliación Bancaria'!D86,"AAAAAFNb+8Y=")</f>
        <v>#VALUE!</v>
      </c>
      <c r="GR5" s="66" t="str">
        <f>AND('Conciliación Bancaria'!E86,"AAAAAFNb+8c=")</f>
        <v>#VALUE!</v>
      </c>
      <c r="GS5" s="66" t="str">
        <f>AND('Conciliación Bancaria'!F86,"AAAAAFNb+8g=")</f>
        <v>#VALUE!</v>
      </c>
      <c r="GT5" s="66" t="str">
        <f>AND('Conciliación Bancaria'!G86,"AAAAAFNb+8k=")</f>
        <v>#VALUE!</v>
      </c>
      <c r="GU5" s="66" t="str">
        <f>AND('Conciliación Bancaria'!H86,"AAAAAFNb+8o=")</f>
        <v>#VALUE!</v>
      </c>
      <c r="GV5" s="66" t="str">
        <f>AND('Conciliación Bancaria'!I86,"AAAAAFNb+8s=")</f>
        <v>#VALUE!</v>
      </c>
      <c r="GW5" s="66" t="str">
        <f>AND('Conciliación Bancaria'!J86,"AAAAAFNb+8w=")</f>
        <v>#VALUE!</v>
      </c>
      <c r="GX5" s="66" t="str">
        <f>AND('Conciliación Bancaria'!K86,"AAAAAFNb+80=")</f>
        <v>#VALUE!</v>
      </c>
      <c r="GY5" s="66" t="str">
        <f>AND('Conciliación Bancaria'!L86,"AAAAAFNb+84=")</f>
        <v>#VALUE!</v>
      </c>
      <c r="GZ5" s="66" t="str">
        <f>AND('Conciliación Bancaria'!M86,"AAAAAFNb+88=")</f>
        <v>#VALUE!</v>
      </c>
      <c r="HA5" s="66" t="str">
        <f>IF('Conciliación Bancaria'!$A87:$IU87,"AAAAAFNb+9A=",0)</f>
        <v>#VALUE!</v>
      </c>
      <c r="HB5" s="66" t="str">
        <f>AND('Conciliación Bancaria'!A87,"AAAAAFNb+9E=")</f>
        <v>#VALUE!</v>
      </c>
      <c r="HC5" s="66" t="str">
        <f>AND('Conciliación Bancaria'!B87,"AAAAAFNb+9I=")</f>
        <v>#VALUE!</v>
      </c>
      <c r="HD5" s="66" t="str">
        <f>AND('Conciliación Bancaria'!C87,"AAAAAFNb+9M=")</f>
        <v>#VALUE!</v>
      </c>
      <c r="HE5" s="66" t="str">
        <f>AND('Conciliación Bancaria'!D87,"AAAAAFNb+9Q=")</f>
        <v>#VALUE!</v>
      </c>
      <c r="HF5" s="66" t="str">
        <f>AND('Conciliación Bancaria'!E87,"AAAAAFNb+9U=")</f>
        <v>#VALUE!</v>
      </c>
      <c r="HG5" s="66" t="str">
        <f>AND('Conciliación Bancaria'!F87,"AAAAAFNb+9Y=")</f>
        <v>#VALUE!</v>
      </c>
      <c r="HH5" s="66" t="str">
        <f>AND('Conciliación Bancaria'!G87,"AAAAAFNb+9c=")</f>
        <v>#VALUE!</v>
      </c>
      <c r="HI5" s="66" t="str">
        <f>AND('Conciliación Bancaria'!H87,"AAAAAFNb+9g=")</f>
        <v>#VALUE!</v>
      </c>
      <c r="HJ5" s="66" t="str">
        <f>AND('Conciliación Bancaria'!I87,"AAAAAFNb+9k=")</f>
        <v>#VALUE!</v>
      </c>
      <c r="HK5" s="66" t="str">
        <f>AND('Conciliación Bancaria'!J87,"AAAAAFNb+9o=")</f>
        <v>#VALUE!</v>
      </c>
      <c r="HL5" s="66" t="str">
        <f>AND('Conciliación Bancaria'!K87,"AAAAAFNb+9s=")</f>
        <v>#VALUE!</v>
      </c>
      <c r="HM5" s="66" t="str">
        <f>AND('Conciliación Bancaria'!L87,"AAAAAFNb+9w=")</f>
        <v>#VALUE!</v>
      </c>
      <c r="HN5" s="66" t="str">
        <f>AND('Conciliación Bancaria'!M87,"AAAAAFNb+90=")</f>
        <v>#VALUE!</v>
      </c>
      <c r="HO5" s="66" t="str">
        <f>IF('Conciliación Bancaria'!$A88:$IU88,"AAAAAFNb+94=",0)</f>
        <v>#VALUE!</v>
      </c>
      <c r="HP5" s="66" t="str">
        <f>AND('Conciliación Bancaria'!A88,"AAAAAFNb+98=")</f>
        <v>#VALUE!</v>
      </c>
      <c r="HQ5" s="66" t="str">
        <f>AND('Conciliación Bancaria'!B88,"AAAAAFNb++A=")</f>
        <v>#VALUE!</v>
      </c>
      <c r="HR5" s="66" t="str">
        <f>AND('Conciliación Bancaria'!C88,"AAAAAFNb++E=")</f>
        <v>#VALUE!</v>
      </c>
      <c r="HS5" s="66" t="str">
        <f>AND('Conciliación Bancaria'!D88,"AAAAAFNb++I=")</f>
        <v>#VALUE!</v>
      </c>
      <c r="HT5" s="66" t="str">
        <f>AND('Conciliación Bancaria'!E88,"AAAAAFNb++M=")</f>
        <v>#VALUE!</v>
      </c>
      <c r="HU5" s="66" t="str">
        <f>AND('Conciliación Bancaria'!F88,"AAAAAFNb++Q=")</f>
        <v>#VALUE!</v>
      </c>
      <c r="HV5" s="66" t="str">
        <f>AND('Conciliación Bancaria'!G88,"AAAAAFNb++U=")</f>
        <v>#VALUE!</v>
      </c>
      <c r="HW5" s="66" t="str">
        <f>AND('Conciliación Bancaria'!H88,"AAAAAFNb++Y=")</f>
        <v>#VALUE!</v>
      </c>
      <c r="HX5" s="66" t="str">
        <f>AND('Conciliación Bancaria'!I88,"AAAAAFNb++c=")</f>
        <v>#VALUE!</v>
      </c>
      <c r="HY5" s="66" t="str">
        <f>AND('Conciliación Bancaria'!J88,"AAAAAFNb++g=")</f>
        <v>#VALUE!</v>
      </c>
      <c r="HZ5" s="66" t="str">
        <f>AND('Conciliación Bancaria'!K88,"AAAAAFNb++k=")</f>
        <v>#VALUE!</v>
      </c>
      <c r="IA5" s="66" t="str">
        <f>AND('Conciliación Bancaria'!L88,"AAAAAFNb++o=")</f>
        <v>#VALUE!</v>
      </c>
      <c r="IB5" s="66" t="str">
        <f>AND('Conciliación Bancaria'!M88,"AAAAAFNb++s=")</f>
        <v>#VALUE!</v>
      </c>
      <c r="IC5" s="66" t="str">
        <f>IF('Conciliación Bancaria'!$A89:$IU89,"AAAAAFNb++w=",0)</f>
        <v>#VALUE!</v>
      </c>
      <c r="ID5" s="66" t="str">
        <f>AND('Conciliación Bancaria'!A89,"AAAAAFNb++0=")</f>
        <v>#VALUE!</v>
      </c>
      <c r="IE5" s="66" t="str">
        <f>AND('Conciliación Bancaria'!B89,"AAAAAFNb++4=")</f>
        <v>#VALUE!</v>
      </c>
      <c r="IF5" s="66" t="b">
        <f>AND('Conciliación Bancaria'!C89,"AAAAAFNb++8=")</f>
        <v>0</v>
      </c>
      <c r="IG5" s="66" t="str">
        <f>AND('Conciliación Bancaria'!D89,"AAAAAFNb+/A=")</f>
        <v>#VALUE!</v>
      </c>
      <c r="IH5" s="66" t="str">
        <f>AND('Conciliación Bancaria'!E89,"AAAAAFNb+/E=")</f>
        <v>#VALUE!</v>
      </c>
      <c r="II5" s="66" t="str">
        <f>AND('Conciliación Bancaria'!F89,"AAAAAFNb+/I=")</f>
        <v>#VALUE!</v>
      </c>
      <c r="IJ5" s="66" t="str">
        <f>AND('Conciliación Bancaria'!G89,"AAAAAFNb+/M=")</f>
        <v>#VALUE!</v>
      </c>
      <c r="IK5" s="66" t="str">
        <f>AND('Conciliación Bancaria'!H89,"AAAAAFNb+/Q=")</f>
        <v>#VALUE!</v>
      </c>
      <c r="IL5" s="66" t="str">
        <f>AND('Conciliación Bancaria'!I89,"AAAAAFNb+/U=")</f>
        <v>#VALUE!</v>
      </c>
      <c r="IM5" s="66" t="str">
        <f>AND('Conciliación Bancaria'!J89,"AAAAAFNb+/Y=")</f>
        <v>#VALUE!</v>
      </c>
      <c r="IN5" s="66" t="str">
        <f>AND('Conciliación Bancaria'!K89,"AAAAAFNb+/c=")</f>
        <v>#VALUE!</v>
      </c>
      <c r="IO5" s="66" t="str">
        <f>AND('Conciliación Bancaria'!L89,"AAAAAFNb+/g=")</f>
        <v>#VALUE!</v>
      </c>
      <c r="IP5" s="66" t="str">
        <f>AND('Conciliación Bancaria'!M89,"AAAAAFNb+/k=")</f>
        <v>#VALUE!</v>
      </c>
      <c r="IQ5" s="66" t="str">
        <f>IF('Conciliación Bancaria'!$A90:$IU90,"AAAAAFNb+/o=",0)</f>
        <v>#VALUE!</v>
      </c>
      <c r="IR5" s="66" t="str">
        <f>AND('Conciliación Bancaria'!A90,"AAAAAFNb+/s=")</f>
        <v>#VALUE!</v>
      </c>
      <c r="IS5" s="66" t="str">
        <f>AND('Conciliación Bancaria'!B90,"AAAAAFNb+/w=")</f>
        <v>#VALUE!</v>
      </c>
      <c r="IT5" s="66" t="str">
        <f>AND('Conciliación Bancaria'!C90,"AAAAAFNb+/0=")</f>
        <v>#VALUE!</v>
      </c>
      <c r="IU5" s="66" t="str">
        <f>AND('Conciliación Bancaria'!D90,"AAAAAFNb+/4=")</f>
        <v>#VALUE!</v>
      </c>
      <c r="IV5" s="66" t="str">
        <f>AND('Conciliación Bancaria'!E90,"AAAAAFNb+/8=")</f>
        <v>#VALUE!</v>
      </c>
    </row>
    <row r="6" ht="12.75" customHeight="1">
      <c r="A6" s="66" t="str">
        <f>AND('Conciliación Bancaria'!F90,"AAAAAH3y5QA=")</f>
        <v>#VALUE!</v>
      </c>
      <c r="B6" s="66" t="str">
        <f>AND('Conciliación Bancaria'!G90,"AAAAAH3y5QE=")</f>
        <v>#VALUE!</v>
      </c>
      <c r="C6" s="66" t="str">
        <f>AND('Conciliación Bancaria'!H90,"AAAAAH3y5QI=")</f>
        <v>#VALUE!</v>
      </c>
      <c r="D6" s="66" t="str">
        <f>AND('Conciliación Bancaria'!I90,"AAAAAH3y5QM=")</f>
        <v>#VALUE!</v>
      </c>
      <c r="E6" s="66" t="str">
        <f>AND('Conciliación Bancaria'!J90,"AAAAAH3y5QQ=")</f>
        <v>#VALUE!</v>
      </c>
      <c r="F6" s="66" t="str">
        <f>AND('Conciliación Bancaria'!K90,"AAAAAH3y5QU=")</f>
        <v>#VALUE!</v>
      </c>
      <c r="G6" s="66" t="str">
        <f>AND('Conciliación Bancaria'!L90,"AAAAAH3y5QY=")</f>
        <v>#VALUE!</v>
      </c>
      <c r="H6" s="66" t="str">
        <f>AND('Conciliación Bancaria'!M90,"AAAAAH3y5Qc=")</f>
        <v>#VALUE!</v>
      </c>
      <c r="I6" s="66">
        <f>IF('Conciliación Bancaria'!$A91:$IU91,"AAAAAH3y5Qg=",0)</f>
        <v>0</v>
      </c>
      <c r="J6" s="66" t="str">
        <f>AND('Conciliación Bancaria'!A91,"AAAAAH3y5Qk=")</f>
        <v>#VALUE!</v>
      </c>
      <c r="K6" s="66" t="str">
        <f>AND('Conciliación Bancaria'!B91,"AAAAAH3y5Qo=")</f>
        <v>#VALUE!</v>
      </c>
      <c r="L6" s="66" t="str">
        <f>AND('Conciliación Bancaria'!C91,"AAAAAH3y5Qs=")</f>
        <v>#VALUE!</v>
      </c>
      <c r="M6" s="66" t="str">
        <f>AND('Conciliación Bancaria'!D91,"AAAAAH3y5Qw=")</f>
        <v>#VALUE!</v>
      </c>
      <c r="N6" s="66" t="str">
        <f>AND('Conciliación Bancaria'!E91,"AAAAAH3y5Q0=")</f>
        <v>#VALUE!</v>
      </c>
      <c r="O6" s="66" t="str">
        <f>AND('Conciliación Bancaria'!F91,"AAAAAH3y5Q4=")</f>
        <v>#VALUE!</v>
      </c>
      <c r="P6" s="66" t="str">
        <f>AND('Conciliación Bancaria'!G91,"AAAAAH3y5Q8=")</f>
        <v>#VALUE!</v>
      </c>
      <c r="Q6" s="66" t="str">
        <f>AND('Conciliación Bancaria'!H91,"AAAAAH3y5RA=")</f>
        <v>#VALUE!</v>
      </c>
      <c r="R6" s="66" t="str">
        <f>AND('Conciliación Bancaria'!I91,"AAAAAH3y5RE=")</f>
        <v>#VALUE!</v>
      </c>
      <c r="S6" s="66" t="str">
        <f>AND('Conciliación Bancaria'!J91,"AAAAAH3y5RI=")</f>
        <v>#VALUE!</v>
      </c>
      <c r="T6" s="66" t="str">
        <f>AND('Conciliación Bancaria'!K91,"AAAAAH3y5RM=")</f>
        <v>#VALUE!</v>
      </c>
      <c r="U6" s="66" t="str">
        <f>AND('Conciliación Bancaria'!L91,"AAAAAH3y5RQ=")</f>
        <v>#VALUE!</v>
      </c>
      <c r="V6" s="66" t="str">
        <f>AND('Conciliación Bancaria'!M91,"AAAAAH3y5RU=")</f>
        <v>#VALUE!</v>
      </c>
      <c r="W6" s="66">
        <f>IF('Conciliación Bancaria'!$A92:$IU92,"AAAAAH3y5RY=",0)</f>
        <v>0</v>
      </c>
      <c r="X6" s="66" t="str">
        <f>AND('Conciliación Bancaria'!A92,"AAAAAH3y5Rc=")</f>
        <v>#VALUE!</v>
      </c>
      <c r="Y6" s="66" t="str">
        <f>AND('Conciliación Bancaria'!B92,"AAAAAH3y5Rg=")</f>
        <v>#VALUE!</v>
      </c>
      <c r="Z6" s="66" t="str">
        <f>AND('Conciliación Bancaria'!C92,"AAAAAH3y5Rk=")</f>
        <v>#VALUE!</v>
      </c>
      <c r="AA6" s="66" t="str">
        <f>AND('Conciliación Bancaria'!D92,"AAAAAH3y5Ro=")</f>
        <v>#VALUE!</v>
      </c>
      <c r="AB6" s="66" t="str">
        <f>AND('Conciliación Bancaria'!E92,"AAAAAH3y5Rs=")</f>
        <v>#VALUE!</v>
      </c>
      <c r="AC6" s="66" t="str">
        <f>AND('Conciliación Bancaria'!F92,"AAAAAH3y5Rw=")</f>
        <v>#VALUE!</v>
      </c>
      <c r="AD6" s="66" t="str">
        <f>AND('Conciliación Bancaria'!G92,"AAAAAH3y5R0=")</f>
        <v>#VALUE!</v>
      </c>
      <c r="AE6" s="66" t="str">
        <f>AND('Conciliación Bancaria'!H92,"AAAAAH3y5R4=")</f>
        <v>#VALUE!</v>
      </c>
      <c r="AF6" s="66" t="str">
        <f>AND('Conciliación Bancaria'!I92,"AAAAAH3y5R8=")</f>
        <v>#VALUE!</v>
      </c>
      <c r="AG6" s="66" t="str">
        <f>AND('Conciliación Bancaria'!J92,"AAAAAH3y5SA=")</f>
        <v>#VALUE!</v>
      </c>
      <c r="AH6" s="66" t="str">
        <f>AND('Conciliación Bancaria'!K92,"AAAAAH3y5SE=")</f>
        <v>#VALUE!</v>
      </c>
      <c r="AI6" s="66" t="str">
        <f>AND('Conciliación Bancaria'!L92,"AAAAAH3y5SI=")</f>
        <v>#VALUE!</v>
      </c>
      <c r="AJ6" s="66" t="str">
        <f>AND('Conciliación Bancaria'!M92,"AAAAAH3y5SM=")</f>
        <v>#VALUE!</v>
      </c>
      <c r="AK6" s="66" t="str">
        <f>IF('Conciliación Bancaria'!$A93:$IU93,"AAAAAH3y5SQ=",0)</f>
        <v>#VALUE!</v>
      </c>
      <c r="AL6" s="66" t="str">
        <f>AND('Conciliación Bancaria'!#REF!,"AAAAAH3y5SU=")</f>
        <v>#ERROR!</v>
      </c>
      <c r="AM6" s="66" t="str">
        <f>AND('Conciliación Bancaria'!B93,"AAAAAH3y5SY=")</f>
        <v>#VALUE!</v>
      </c>
      <c r="AN6" s="66" t="str">
        <f>AND('Conciliación Bancaria'!C93,"AAAAAH3y5Sc=")</f>
        <v>#VALUE!</v>
      </c>
      <c r="AO6" s="66" t="str">
        <f>AND('Conciliación Bancaria'!D93,"AAAAAH3y5Sg=")</f>
        <v>#VALUE!</v>
      </c>
      <c r="AP6" s="66" t="str">
        <f>AND('Conciliación Bancaria'!E93,"AAAAAH3y5Sk=")</f>
        <v>#VALUE!</v>
      </c>
      <c r="AQ6" s="66" t="str">
        <f>AND('Conciliación Bancaria'!F93,"AAAAAH3y5So=")</f>
        <v>#VALUE!</v>
      </c>
      <c r="AR6" s="66" t="str">
        <f>AND('Conciliación Bancaria'!G93,"AAAAAH3y5Ss=")</f>
        <v>#VALUE!</v>
      </c>
      <c r="AS6" s="66" t="str">
        <f>AND('Conciliación Bancaria'!H93,"AAAAAH3y5Sw=")</f>
        <v>#VALUE!</v>
      </c>
      <c r="AT6" s="66" t="str">
        <f>AND('Conciliación Bancaria'!I93,"AAAAAH3y5S0=")</f>
        <v>#VALUE!</v>
      </c>
      <c r="AU6" s="66" t="str">
        <f>AND('Conciliación Bancaria'!J93,"AAAAAH3y5S4=")</f>
        <v>#VALUE!</v>
      </c>
      <c r="AV6" s="66" t="str">
        <f>AND('Conciliación Bancaria'!K93,"AAAAAH3y5S8=")</f>
        <v>#VALUE!</v>
      </c>
      <c r="AW6" s="66" t="str">
        <f>AND('Conciliación Bancaria'!L93,"AAAAAH3y5TA=")</f>
        <v>#VALUE!</v>
      </c>
      <c r="AX6" s="66" t="str">
        <f>AND('Conciliación Bancaria'!M93,"AAAAAH3y5TE=")</f>
        <v>#VALUE!</v>
      </c>
      <c r="AY6" s="66" t="str">
        <f>IF('Conciliación Bancaria'!$A94:$IU94,"AAAAAH3y5TI=",0)</f>
        <v>#VALUE!</v>
      </c>
      <c r="AZ6" s="66" t="str">
        <f>AND('Conciliación Bancaria'!A94,"AAAAAH3y5TM=")</f>
        <v>#VALUE!</v>
      </c>
      <c r="BA6" s="66" t="str">
        <f>AND('Conciliación Bancaria'!B94,"AAAAAH3y5TQ=")</f>
        <v>#VALUE!</v>
      </c>
      <c r="BB6" s="66" t="str">
        <f>AND('Conciliación Bancaria'!C94,"AAAAAH3y5TU=")</f>
        <v>#VALUE!</v>
      </c>
      <c r="BC6" s="66" t="str">
        <f>AND('Conciliación Bancaria'!D94,"AAAAAH3y5TY=")</f>
        <v>#VALUE!</v>
      </c>
      <c r="BD6" s="66" t="str">
        <f>AND('Conciliación Bancaria'!E94,"AAAAAH3y5Tc=")</f>
        <v>#VALUE!</v>
      </c>
      <c r="BE6" s="66" t="str">
        <f>AND('Conciliación Bancaria'!F94,"AAAAAH3y5Tg=")</f>
        <v>#VALUE!</v>
      </c>
      <c r="BF6" s="66" t="str">
        <f>AND('Conciliación Bancaria'!G94,"AAAAAH3y5Tk=")</f>
        <v>#VALUE!</v>
      </c>
      <c r="BG6" s="66" t="str">
        <f>AND('Conciliación Bancaria'!H94,"AAAAAH3y5To=")</f>
        <v>#VALUE!</v>
      </c>
      <c r="BH6" s="66" t="str">
        <f>AND('Conciliación Bancaria'!I94,"AAAAAH3y5Ts=")</f>
        <v>#VALUE!</v>
      </c>
      <c r="BI6" s="66" t="str">
        <f>AND('Conciliación Bancaria'!J94,"AAAAAH3y5Tw=")</f>
        <v>#VALUE!</v>
      </c>
      <c r="BJ6" s="66" t="str">
        <f>AND('Conciliación Bancaria'!K94,"AAAAAH3y5T0=")</f>
        <v>#VALUE!</v>
      </c>
      <c r="BK6" s="66" t="str">
        <f>AND('Conciliación Bancaria'!L94,"AAAAAH3y5T4=")</f>
        <v>#VALUE!</v>
      </c>
      <c r="BL6" s="66" t="str">
        <f>AND('Conciliación Bancaria'!M94,"AAAAAH3y5T8=")</f>
        <v>#VALUE!</v>
      </c>
      <c r="BM6" s="66" t="str">
        <f>IF('Conciliación Bancaria'!$A95:$IU95,"AAAAAH3y5UA=",0)</f>
        <v>#VALUE!</v>
      </c>
      <c r="BN6" s="66" t="str">
        <f>AND('Conciliación Bancaria'!A95,"AAAAAH3y5UE=")</f>
        <v>#VALUE!</v>
      </c>
      <c r="BO6" s="66" t="str">
        <f>AND('Conciliación Bancaria'!B95,"AAAAAH3y5UI=")</f>
        <v>#VALUE!</v>
      </c>
      <c r="BP6" s="66" t="str">
        <f>AND('Conciliación Bancaria'!C95,"AAAAAH3y5UM=")</f>
        <v>#VALUE!</v>
      </c>
      <c r="BQ6" s="66" t="str">
        <f>AND('Conciliación Bancaria'!D95,"AAAAAH3y5UQ=")</f>
        <v>#VALUE!</v>
      </c>
      <c r="BR6" s="66" t="str">
        <f>AND('Conciliación Bancaria'!E95,"AAAAAH3y5UU=")</f>
        <v>#VALUE!</v>
      </c>
      <c r="BS6" s="66" t="str">
        <f>AND('Conciliación Bancaria'!F95,"AAAAAH3y5UY=")</f>
        <v>#VALUE!</v>
      </c>
      <c r="BT6" s="66" t="str">
        <f>AND('Conciliación Bancaria'!G95,"AAAAAH3y5Uc=")</f>
        <v>#VALUE!</v>
      </c>
      <c r="BU6" s="66" t="str">
        <f>AND('Conciliación Bancaria'!H95,"AAAAAH3y5Ug=")</f>
        <v>#VALUE!</v>
      </c>
      <c r="BV6" s="66" t="str">
        <f>AND('Conciliación Bancaria'!I95,"AAAAAH3y5Uk=")</f>
        <v>#VALUE!</v>
      </c>
      <c r="BW6" s="66" t="str">
        <f>AND('Conciliación Bancaria'!J95,"AAAAAH3y5Uo=")</f>
        <v>#VALUE!</v>
      </c>
      <c r="BX6" s="66" t="str">
        <f>AND('Conciliación Bancaria'!K95,"AAAAAH3y5Us=")</f>
        <v>#VALUE!</v>
      </c>
      <c r="BY6" s="66" t="str">
        <f>AND('Conciliación Bancaria'!L95,"AAAAAH3y5Uw=")</f>
        <v>#VALUE!</v>
      </c>
      <c r="BZ6" s="66" t="str">
        <f>AND('Conciliación Bancaria'!M95,"AAAAAH3y5U0=")</f>
        <v>#VALUE!</v>
      </c>
      <c r="CA6" s="66" t="str">
        <f>IF('Conciliación Bancaria'!$A96:$IU96,"AAAAAH3y5U4=",0)</f>
        <v>#VALUE!</v>
      </c>
      <c r="CB6" s="66" t="str">
        <f>AND('Conciliación Bancaria'!A96,"AAAAAH3y5U8=")</f>
        <v>#VALUE!</v>
      </c>
      <c r="CC6" s="66" t="str">
        <f>AND('Conciliación Bancaria'!B96,"AAAAAH3y5VA=")</f>
        <v>#VALUE!</v>
      </c>
      <c r="CD6" s="66" t="str">
        <f>AND('Conciliación Bancaria'!C96,"AAAAAH3y5VE=")</f>
        <v>#VALUE!</v>
      </c>
      <c r="CE6" s="66" t="str">
        <f>AND('Conciliación Bancaria'!D96,"AAAAAH3y5VI=")</f>
        <v>#VALUE!</v>
      </c>
      <c r="CF6" s="66" t="str">
        <f>AND('Conciliación Bancaria'!E96,"AAAAAH3y5VM=")</f>
        <v>#VALUE!</v>
      </c>
      <c r="CG6" s="66" t="str">
        <f>AND('Conciliación Bancaria'!F96,"AAAAAH3y5VQ=")</f>
        <v>#VALUE!</v>
      </c>
      <c r="CH6" s="66" t="str">
        <f>AND('Conciliación Bancaria'!G96,"AAAAAH3y5VU=")</f>
        <v>#VALUE!</v>
      </c>
      <c r="CI6" s="66" t="str">
        <f>AND('Conciliación Bancaria'!H96,"AAAAAH3y5VY=")</f>
        <v>#VALUE!</v>
      </c>
      <c r="CJ6" s="66" t="str">
        <f>AND('Conciliación Bancaria'!I96,"AAAAAH3y5Vc=")</f>
        <v>#VALUE!</v>
      </c>
      <c r="CK6" s="66" t="str">
        <f>AND('Conciliación Bancaria'!J96,"AAAAAH3y5Vg=")</f>
        <v>#VALUE!</v>
      </c>
      <c r="CL6" s="66" t="str">
        <f>AND('Conciliación Bancaria'!K96,"AAAAAH3y5Vk=")</f>
        <v>#VALUE!</v>
      </c>
      <c r="CM6" s="66" t="str">
        <f>AND('Conciliación Bancaria'!L96,"AAAAAH3y5Vo=")</f>
        <v>#VALUE!</v>
      </c>
      <c r="CN6" s="66" t="str">
        <f>AND('Conciliación Bancaria'!M96,"AAAAAH3y5Vs=")</f>
        <v>#VALUE!</v>
      </c>
      <c r="CO6" s="66" t="str">
        <f>IF('Conciliación Bancaria'!$A97:$IU97,"AAAAAH3y5Vw=",0)</f>
        <v>#VALUE!</v>
      </c>
      <c r="CP6" s="66" t="str">
        <f>AND('Conciliación Bancaria'!A97,"AAAAAH3y5V0=")</f>
        <v>#VALUE!</v>
      </c>
      <c r="CQ6" s="66" t="str">
        <f>AND('Conciliación Bancaria'!B97,"AAAAAH3y5V4=")</f>
        <v>#VALUE!</v>
      </c>
      <c r="CR6" s="66" t="str">
        <f>AND('Conciliación Bancaria'!C97,"AAAAAH3y5V8=")</f>
        <v>#VALUE!</v>
      </c>
      <c r="CS6" s="66" t="str">
        <f>AND('Conciliación Bancaria'!D97,"AAAAAH3y5WA=")</f>
        <v>#VALUE!</v>
      </c>
      <c r="CT6" s="66" t="str">
        <f>AND('Conciliación Bancaria'!E97,"AAAAAH3y5WE=")</f>
        <v>#VALUE!</v>
      </c>
      <c r="CU6" s="66" t="str">
        <f>AND('Conciliación Bancaria'!F97,"AAAAAH3y5WI=")</f>
        <v>#VALUE!</v>
      </c>
      <c r="CV6" s="66" t="str">
        <f>AND('Conciliación Bancaria'!G97,"AAAAAH3y5WM=")</f>
        <v>#VALUE!</v>
      </c>
      <c r="CW6" s="66" t="str">
        <f>AND('Conciliación Bancaria'!H97,"AAAAAH3y5WQ=")</f>
        <v>#VALUE!</v>
      </c>
      <c r="CX6" s="66" t="str">
        <f>AND('Conciliación Bancaria'!I97,"AAAAAH3y5WU=")</f>
        <v>#VALUE!</v>
      </c>
      <c r="CY6" s="66" t="str">
        <f>AND('Conciliación Bancaria'!J97,"AAAAAH3y5WY=")</f>
        <v>#VALUE!</v>
      </c>
      <c r="CZ6" s="66" t="str">
        <f>AND('Conciliación Bancaria'!K97,"AAAAAH3y5Wc=")</f>
        <v>#VALUE!</v>
      </c>
      <c r="DA6" s="66" t="str">
        <f>AND('Conciliación Bancaria'!L97,"AAAAAH3y5Wg=")</f>
        <v>#VALUE!</v>
      </c>
      <c r="DB6" s="66" t="str">
        <f>AND('Conciliación Bancaria'!M97,"AAAAAH3y5Wk=")</f>
        <v>#VALUE!</v>
      </c>
      <c r="DC6" s="66" t="str">
        <f>IF('Conciliación Bancaria'!$A98:$IU98,"AAAAAH3y5Wo=",0)</f>
        <v>#VALUE!</v>
      </c>
      <c r="DD6" s="66" t="str">
        <f>AND('Conciliación Bancaria'!A98,"AAAAAH3y5Ws=")</f>
        <v>#VALUE!</v>
      </c>
      <c r="DE6" s="66" t="str">
        <f>AND('Conciliación Bancaria'!B98,"AAAAAH3y5Ww=")</f>
        <v>#VALUE!</v>
      </c>
      <c r="DF6" s="66" t="str">
        <f>AND('Conciliación Bancaria'!C98,"AAAAAH3y5W0=")</f>
        <v>#VALUE!</v>
      </c>
      <c r="DG6" s="66" t="str">
        <f>AND('Conciliación Bancaria'!D98,"AAAAAH3y5W4=")</f>
        <v>#VALUE!</v>
      </c>
      <c r="DH6" s="66" t="str">
        <f>AND('Conciliación Bancaria'!E98,"AAAAAH3y5W8=")</f>
        <v>#VALUE!</v>
      </c>
      <c r="DI6" s="66" t="str">
        <f>AND('Conciliación Bancaria'!F98,"AAAAAH3y5XA=")</f>
        <v>#VALUE!</v>
      </c>
      <c r="DJ6" s="66" t="str">
        <f>AND('Conciliación Bancaria'!G98,"AAAAAH3y5XE=")</f>
        <v>#VALUE!</v>
      </c>
      <c r="DK6" s="66" t="str">
        <f>AND('Conciliación Bancaria'!H98,"AAAAAH3y5XI=")</f>
        <v>#VALUE!</v>
      </c>
      <c r="DL6" s="66" t="str">
        <f>AND('Conciliación Bancaria'!I98,"AAAAAH3y5XM=")</f>
        <v>#VALUE!</v>
      </c>
      <c r="DM6" s="66" t="str">
        <f>AND('Conciliación Bancaria'!J98,"AAAAAH3y5XQ=")</f>
        <v>#VALUE!</v>
      </c>
      <c r="DN6" s="66" t="str">
        <f>AND('Conciliación Bancaria'!K98,"AAAAAH3y5XU=")</f>
        <v>#VALUE!</v>
      </c>
      <c r="DO6" s="66" t="str">
        <f>AND('Conciliación Bancaria'!L98,"AAAAAH3y5XY=")</f>
        <v>#VALUE!</v>
      </c>
      <c r="DP6" s="66" t="str">
        <f>AND('Conciliación Bancaria'!M98,"AAAAAH3y5Xc=")</f>
        <v>#VALUE!</v>
      </c>
      <c r="DQ6" s="66" t="str">
        <f>IF('Conciliación Bancaria'!$A99:$IU99,"AAAAAH3y5Xg=",0)</f>
        <v>#VALUE!</v>
      </c>
      <c r="DR6" s="66" t="str">
        <f>AND('Conciliación Bancaria'!A99,"AAAAAH3y5Xk=")</f>
        <v>#VALUE!</v>
      </c>
      <c r="DS6" s="66" t="str">
        <f>AND('Conciliación Bancaria'!B99,"AAAAAH3y5Xo=")</f>
        <v>#VALUE!</v>
      </c>
      <c r="DT6" s="66" t="str">
        <f>AND('Conciliación Bancaria'!C99,"AAAAAH3y5Xs=")</f>
        <v>#VALUE!</v>
      </c>
      <c r="DU6" s="66" t="str">
        <f>AND('Conciliación Bancaria'!D99,"AAAAAH3y5Xw=")</f>
        <v>#VALUE!</v>
      </c>
      <c r="DV6" s="66" t="str">
        <f>AND('Conciliación Bancaria'!E99,"AAAAAH3y5X0=")</f>
        <v>#VALUE!</v>
      </c>
      <c r="DW6" s="66" t="str">
        <f>AND('Conciliación Bancaria'!F99,"AAAAAH3y5X4=")</f>
        <v>#VALUE!</v>
      </c>
      <c r="DX6" s="66" t="str">
        <f>AND('Conciliación Bancaria'!G99,"AAAAAH3y5X8=")</f>
        <v>#VALUE!</v>
      </c>
      <c r="DY6" s="66" t="str">
        <f>AND('Conciliación Bancaria'!H99,"AAAAAH3y5YA=")</f>
        <v>#VALUE!</v>
      </c>
      <c r="DZ6" s="66" t="str">
        <f>AND('Conciliación Bancaria'!I99,"AAAAAH3y5YE=")</f>
        <v>#VALUE!</v>
      </c>
      <c r="EA6" s="66" t="str">
        <f>AND('Conciliación Bancaria'!J99,"AAAAAH3y5YI=")</f>
        <v>#VALUE!</v>
      </c>
      <c r="EB6" s="66" t="str">
        <f>AND('Conciliación Bancaria'!K99,"AAAAAH3y5YM=")</f>
        <v>#VALUE!</v>
      </c>
      <c r="EC6" s="66" t="str">
        <f>AND('Conciliación Bancaria'!L99,"AAAAAH3y5YQ=")</f>
        <v>#VALUE!</v>
      </c>
      <c r="ED6" s="66" t="str">
        <f>AND('Conciliación Bancaria'!M99,"AAAAAH3y5YU=")</f>
        <v>#VALUE!</v>
      </c>
      <c r="EE6" s="66" t="str">
        <f>IF('Conciliación Bancaria'!$A100:$IU100,"AAAAAH3y5YY=",0)</f>
        <v>#VALUE!</v>
      </c>
      <c r="EF6" s="66" t="str">
        <f>AND('Conciliación Bancaria'!A100,"AAAAAH3y5Yc=")</f>
        <v>#VALUE!</v>
      </c>
      <c r="EG6" s="66" t="str">
        <f>AND('Conciliación Bancaria'!B100,"AAAAAH3y5Yg=")</f>
        <v>#VALUE!</v>
      </c>
      <c r="EH6" s="66" t="str">
        <f>AND('Conciliación Bancaria'!C100,"AAAAAH3y5Yk=")</f>
        <v>#VALUE!</v>
      </c>
      <c r="EI6" s="66" t="str">
        <f>AND('Conciliación Bancaria'!D100,"AAAAAH3y5Yo=")</f>
        <v>#VALUE!</v>
      </c>
      <c r="EJ6" s="66" t="str">
        <f>AND('Conciliación Bancaria'!E100,"AAAAAH3y5Ys=")</f>
        <v>#VALUE!</v>
      </c>
      <c r="EK6" s="66" t="str">
        <f>AND('Conciliación Bancaria'!F100,"AAAAAH3y5Yw=")</f>
        <v>#VALUE!</v>
      </c>
      <c r="EL6" s="66" t="str">
        <f>AND('Conciliación Bancaria'!G100,"AAAAAH3y5Y0=")</f>
        <v>#VALUE!</v>
      </c>
      <c r="EM6" s="66" t="str">
        <f>AND('Conciliación Bancaria'!H100,"AAAAAH3y5Y4=")</f>
        <v>#VALUE!</v>
      </c>
      <c r="EN6" s="66" t="str">
        <f>AND('Conciliación Bancaria'!I100,"AAAAAH3y5Y8=")</f>
        <v>#VALUE!</v>
      </c>
      <c r="EO6" s="66" t="str">
        <f>AND('Conciliación Bancaria'!J100,"AAAAAH3y5ZA=")</f>
        <v>#VALUE!</v>
      </c>
      <c r="EP6" s="66" t="str">
        <f>AND('Conciliación Bancaria'!K100,"AAAAAH3y5ZE=")</f>
        <v>#VALUE!</v>
      </c>
      <c r="EQ6" s="66" t="str">
        <f>AND('Conciliación Bancaria'!L100,"AAAAAH3y5ZI=")</f>
        <v>#VALUE!</v>
      </c>
      <c r="ER6" s="66" t="str">
        <f>AND('Conciliación Bancaria'!M100,"AAAAAH3y5ZM=")</f>
        <v>#VALUE!</v>
      </c>
      <c r="ES6" s="66" t="str">
        <f>IF('Conciliación Bancaria'!$A101:$IU101,"AAAAAH3y5ZQ=",0)</f>
        <v>#VALUE!</v>
      </c>
      <c r="ET6" s="66" t="str">
        <f>AND('Conciliación Bancaria'!A101,"AAAAAH3y5ZU=")</f>
        <v>#VALUE!</v>
      </c>
      <c r="EU6" s="66" t="str">
        <f>AND('Conciliación Bancaria'!B101,"AAAAAH3y5ZY=")</f>
        <v>#VALUE!</v>
      </c>
      <c r="EV6" s="66" t="str">
        <f>AND('Conciliación Bancaria'!C101,"AAAAAH3y5Zc=")</f>
        <v>#VALUE!</v>
      </c>
      <c r="EW6" s="66" t="str">
        <f>AND('Conciliación Bancaria'!D101,"AAAAAH3y5Zg=")</f>
        <v>#VALUE!</v>
      </c>
      <c r="EX6" s="66" t="str">
        <f>AND('Conciliación Bancaria'!E101,"AAAAAH3y5Zk=")</f>
        <v>#VALUE!</v>
      </c>
      <c r="EY6" s="66" t="str">
        <f>AND('Conciliación Bancaria'!F101,"AAAAAH3y5Zo=")</f>
        <v>#VALUE!</v>
      </c>
      <c r="EZ6" s="66" t="str">
        <f>AND('Conciliación Bancaria'!G101,"AAAAAH3y5Zs=")</f>
        <v>#VALUE!</v>
      </c>
      <c r="FA6" s="66" t="str">
        <f>AND('Conciliación Bancaria'!H101,"AAAAAH3y5Zw=")</f>
        <v>#VALUE!</v>
      </c>
      <c r="FB6" s="66" t="str">
        <f>AND('Conciliación Bancaria'!I101,"AAAAAH3y5Z0=")</f>
        <v>#VALUE!</v>
      </c>
      <c r="FC6" s="66" t="str">
        <f>AND('Conciliación Bancaria'!J101,"AAAAAH3y5Z4=")</f>
        <v>#VALUE!</v>
      </c>
      <c r="FD6" s="66" t="str">
        <f>AND('Conciliación Bancaria'!K101,"AAAAAH3y5Z8=")</f>
        <v>#VALUE!</v>
      </c>
      <c r="FE6" s="66" t="str">
        <f>AND('Conciliación Bancaria'!L101,"AAAAAH3y5aA=")</f>
        <v>#VALUE!</v>
      </c>
      <c r="FF6" s="66" t="str">
        <f>AND('Conciliación Bancaria'!M101,"AAAAAH3y5aE=")</f>
        <v>#VALUE!</v>
      </c>
      <c r="FG6" s="66" t="str">
        <f>IF('Conciliación Bancaria'!$A102:$IU102,"AAAAAH3y5aI=",0)</f>
        <v>#VALUE!</v>
      </c>
      <c r="FH6" s="66" t="str">
        <f>AND('Conciliación Bancaria'!A102,"AAAAAH3y5aM=")</f>
        <v>#VALUE!</v>
      </c>
      <c r="FI6" s="66" t="str">
        <f>AND('Conciliación Bancaria'!B102,"AAAAAH3y5aQ=")</f>
        <v>#VALUE!</v>
      </c>
      <c r="FJ6" s="66" t="str">
        <f>AND('Conciliación Bancaria'!C102,"AAAAAH3y5aU=")</f>
        <v>#VALUE!</v>
      </c>
      <c r="FK6" s="66" t="str">
        <f>AND('Conciliación Bancaria'!D102,"AAAAAH3y5aY=")</f>
        <v>#VALUE!</v>
      </c>
      <c r="FL6" s="66" t="str">
        <f>AND('Conciliación Bancaria'!E102,"AAAAAH3y5ac=")</f>
        <v>#VALUE!</v>
      </c>
      <c r="FM6" s="66" t="str">
        <f>AND('Conciliación Bancaria'!F102,"AAAAAH3y5ag=")</f>
        <v>#VALUE!</v>
      </c>
      <c r="FN6" s="66" t="str">
        <f>AND('Conciliación Bancaria'!G102,"AAAAAH3y5ak=")</f>
        <v>#VALUE!</v>
      </c>
      <c r="FO6" s="66" t="str">
        <f>AND('Conciliación Bancaria'!H102,"AAAAAH3y5ao=")</f>
        <v>#VALUE!</v>
      </c>
      <c r="FP6" s="66" t="str">
        <f>AND('Conciliación Bancaria'!I102,"AAAAAH3y5as=")</f>
        <v>#VALUE!</v>
      </c>
      <c r="FQ6" s="66" t="str">
        <f>AND('Conciliación Bancaria'!J102,"AAAAAH3y5aw=")</f>
        <v>#VALUE!</v>
      </c>
      <c r="FR6" s="66" t="str">
        <f>AND('Conciliación Bancaria'!K102,"AAAAAH3y5a0=")</f>
        <v>#VALUE!</v>
      </c>
      <c r="FS6" s="66" t="str">
        <f>AND('Conciliación Bancaria'!L102,"AAAAAH3y5a4=")</f>
        <v>#VALUE!</v>
      </c>
      <c r="FT6" s="66" t="str">
        <f>AND('Conciliación Bancaria'!M102,"AAAAAH3y5a8=")</f>
        <v>#VALUE!</v>
      </c>
      <c r="FU6" s="66" t="str">
        <f>IF('Conciliación Bancaria'!$A103:$IU103,"AAAAAH3y5bA=",0)</f>
        <v>#VALUE!</v>
      </c>
      <c r="FV6" s="66" t="str">
        <f>AND('Conciliación Bancaria'!A103,"AAAAAH3y5bE=")</f>
        <v>#VALUE!</v>
      </c>
      <c r="FW6" s="66" t="str">
        <f>AND('Conciliación Bancaria'!B103,"AAAAAH3y5bI=")</f>
        <v>#VALUE!</v>
      </c>
      <c r="FX6" s="66" t="str">
        <f>AND('Conciliación Bancaria'!C103,"AAAAAH3y5bM=")</f>
        <v>#VALUE!</v>
      </c>
      <c r="FY6" s="66" t="str">
        <f>AND('Conciliación Bancaria'!D103,"AAAAAH3y5bQ=")</f>
        <v>#VALUE!</v>
      </c>
      <c r="FZ6" s="66" t="str">
        <f>AND('Conciliación Bancaria'!E103,"AAAAAH3y5bU=")</f>
        <v>#VALUE!</v>
      </c>
      <c r="GA6" s="66" t="str">
        <f>AND('Conciliación Bancaria'!F103,"AAAAAH3y5bY=")</f>
        <v>#VALUE!</v>
      </c>
      <c r="GB6" s="66" t="str">
        <f>AND('Conciliación Bancaria'!G103,"AAAAAH3y5bc=")</f>
        <v>#VALUE!</v>
      </c>
      <c r="GC6" s="66" t="str">
        <f>AND('Conciliación Bancaria'!H103,"AAAAAH3y5bg=")</f>
        <v>#VALUE!</v>
      </c>
      <c r="GD6" s="66" t="str">
        <f>AND('Conciliación Bancaria'!I103,"AAAAAH3y5bk=")</f>
        <v>#VALUE!</v>
      </c>
      <c r="GE6" s="66" t="str">
        <f>AND('Conciliación Bancaria'!J103,"AAAAAH3y5bo=")</f>
        <v>#VALUE!</v>
      </c>
      <c r="GF6" s="66" t="str">
        <f>AND('Conciliación Bancaria'!K103,"AAAAAH3y5bs=")</f>
        <v>#VALUE!</v>
      </c>
      <c r="GG6" s="66" t="str">
        <f>AND('Conciliación Bancaria'!L103,"AAAAAH3y5bw=")</f>
        <v>#VALUE!</v>
      </c>
      <c r="GH6" s="66" t="str">
        <f>AND('Conciliación Bancaria'!M103,"AAAAAH3y5b0=")</f>
        <v>#VALUE!</v>
      </c>
      <c r="GI6" s="66" t="str">
        <f>IF('Conciliación Bancaria'!$A104:$IU104,"AAAAAH3y5b4=",0)</f>
        <v>#VALUE!</v>
      </c>
      <c r="GJ6" s="66" t="str">
        <f>AND('Conciliación Bancaria'!A104,"AAAAAH3y5b8=")</f>
        <v>#VALUE!</v>
      </c>
      <c r="GK6" s="66" t="str">
        <f>AND('Conciliación Bancaria'!B104,"AAAAAH3y5cA=")</f>
        <v>#VALUE!</v>
      </c>
      <c r="GL6" s="66" t="str">
        <f>AND('Conciliación Bancaria'!C104,"AAAAAH3y5cE=")</f>
        <v>#VALUE!</v>
      </c>
      <c r="GM6" s="66" t="str">
        <f>AND('Conciliación Bancaria'!D104,"AAAAAH3y5cI=")</f>
        <v>#VALUE!</v>
      </c>
      <c r="GN6" s="66" t="str">
        <f>AND('Conciliación Bancaria'!E104,"AAAAAH3y5cM=")</f>
        <v>#VALUE!</v>
      </c>
      <c r="GO6" s="66" t="str">
        <f>AND('Conciliación Bancaria'!F104,"AAAAAH3y5cQ=")</f>
        <v>#VALUE!</v>
      </c>
      <c r="GP6" s="66" t="str">
        <f>AND('Conciliación Bancaria'!G104,"AAAAAH3y5cU=")</f>
        <v>#VALUE!</v>
      </c>
      <c r="GQ6" s="66" t="str">
        <f>AND('Conciliación Bancaria'!H104,"AAAAAH3y5cY=")</f>
        <v>#VALUE!</v>
      </c>
      <c r="GR6" s="66" t="str">
        <f>AND('Conciliación Bancaria'!I104,"AAAAAH3y5cc=")</f>
        <v>#VALUE!</v>
      </c>
      <c r="GS6" s="66" t="str">
        <f>AND('Conciliación Bancaria'!J104,"AAAAAH3y5cg=")</f>
        <v>#VALUE!</v>
      </c>
      <c r="GT6" s="66" t="str">
        <f>AND('Conciliación Bancaria'!K104,"AAAAAH3y5ck=")</f>
        <v>#VALUE!</v>
      </c>
      <c r="GU6" s="66" t="str">
        <f>AND('Conciliación Bancaria'!L104,"AAAAAH3y5co=")</f>
        <v>#VALUE!</v>
      </c>
      <c r="GV6" s="66" t="str">
        <f>AND('Conciliación Bancaria'!M104,"AAAAAH3y5cs=")</f>
        <v>#VALUE!</v>
      </c>
      <c r="GW6" s="66" t="str">
        <f>IF('Conciliación Bancaria'!$A105:$IU105,"AAAAAH3y5cw=",0)</f>
        <v>#VALUE!</v>
      </c>
      <c r="GX6" s="66" t="str">
        <f>AND('Conciliación Bancaria'!A105,"AAAAAH3y5c0=")</f>
        <v>#VALUE!</v>
      </c>
      <c r="GY6" s="66" t="str">
        <f>AND('Conciliación Bancaria'!B105,"AAAAAH3y5c4=")</f>
        <v>#VALUE!</v>
      </c>
      <c r="GZ6" s="66" t="str">
        <f>AND('Conciliación Bancaria'!C105,"AAAAAH3y5c8=")</f>
        <v>#VALUE!</v>
      </c>
      <c r="HA6" s="66" t="str">
        <f>AND('Conciliación Bancaria'!D105,"AAAAAH3y5dA=")</f>
        <v>#VALUE!</v>
      </c>
      <c r="HB6" s="66" t="str">
        <f>AND('Conciliación Bancaria'!E105,"AAAAAH3y5dE=")</f>
        <v>#VALUE!</v>
      </c>
      <c r="HC6" s="66" t="str">
        <f>AND('Conciliación Bancaria'!F105,"AAAAAH3y5dI=")</f>
        <v>#VALUE!</v>
      </c>
      <c r="HD6" s="66" t="str">
        <f>AND('Conciliación Bancaria'!G105,"AAAAAH3y5dM=")</f>
        <v>#VALUE!</v>
      </c>
      <c r="HE6" s="66" t="str">
        <f>AND('Conciliación Bancaria'!H105,"AAAAAH3y5dQ=")</f>
        <v>#VALUE!</v>
      </c>
      <c r="HF6" s="66" t="str">
        <f>AND('Conciliación Bancaria'!I105,"AAAAAH3y5dU=")</f>
        <v>#VALUE!</v>
      </c>
      <c r="HG6" s="66" t="str">
        <f>AND('Conciliación Bancaria'!J105,"AAAAAH3y5dY=")</f>
        <v>#VALUE!</v>
      </c>
      <c r="HH6" s="66" t="str">
        <f>AND('Conciliación Bancaria'!K105,"AAAAAH3y5dc=")</f>
        <v>#VALUE!</v>
      </c>
      <c r="HI6" s="66" t="str">
        <f>AND('Conciliación Bancaria'!L105,"AAAAAH3y5dg=")</f>
        <v>#VALUE!</v>
      </c>
      <c r="HJ6" s="66" t="str">
        <f>AND('Conciliación Bancaria'!M105,"AAAAAH3y5dk=")</f>
        <v>#VALUE!</v>
      </c>
      <c r="HK6" s="66" t="str">
        <f>IF('Conciliación Bancaria'!$A106:$IU106,"AAAAAH3y5do=",0)</f>
        <v>#VALUE!</v>
      </c>
      <c r="HL6" s="66" t="str">
        <f>AND('Conciliación Bancaria'!A106,"AAAAAH3y5ds=")</f>
        <v>#VALUE!</v>
      </c>
      <c r="HM6" s="66" t="str">
        <f>AND('Conciliación Bancaria'!B106,"AAAAAH3y5dw=")</f>
        <v>#VALUE!</v>
      </c>
      <c r="HN6" s="66" t="str">
        <f>AND('Conciliación Bancaria'!C106,"AAAAAH3y5d0=")</f>
        <v>#VALUE!</v>
      </c>
      <c r="HO6" s="66" t="str">
        <f>AND('Conciliación Bancaria'!D106,"AAAAAH3y5d4=")</f>
        <v>#VALUE!</v>
      </c>
      <c r="HP6" s="66" t="str">
        <f>AND('Conciliación Bancaria'!E106,"AAAAAH3y5d8=")</f>
        <v>#VALUE!</v>
      </c>
      <c r="HQ6" s="66" t="str">
        <f>AND('Conciliación Bancaria'!F106,"AAAAAH3y5eA=")</f>
        <v>#VALUE!</v>
      </c>
      <c r="HR6" s="66" t="str">
        <f>AND('Conciliación Bancaria'!G106,"AAAAAH3y5eE=")</f>
        <v>#VALUE!</v>
      </c>
      <c r="HS6" s="66" t="str">
        <f>AND('Conciliación Bancaria'!H106,"AAAAAH3y5eI=")</f>
        <v>#VALUE!</v>
      </c>
      <c r="HT6" s="66" t="str">
        <f>AND('Conciliación Bancaria'!I106,"AAAAAH3y5eM=")</f>
        <v>#VALUE!</v>
      </c>
      <c r="HU6" s="66" t="str">
        <f>AND('Conciliación Bancaria'!J106,"AAAAAH3y5eQ=")</f>
        <v>#VALUE!</v>
      </c>
      <c r="HV6" s="66" t="str">
        <f>AND('Conciliación Bancaria'!K106,"AAAAAH3y5eU=")</f>
        <v>#VALUE!</v>
      </c>
      <c r="HW6" s="66" t="str">
        <f>AND('Conciliación Bancaria'!L106,"AAAAAH3y5eY=")</f>
        <v>#VALUE!</v>
      </c>
      <c r="HX6" s="66" t="str">
        <f>AND('Conciliación Bancaria'!M106,"AAAAAH3y5ec=")</f>
        <v>#VALUE!</v>
      </c>
      <c r="HY6" s="66" t="str">
        <f>IF('Conciliación Bancaria'!$A107:$IU107,"AAAAAH3y5eg=",0)</f>
        <v>#VALUE!</v>
      </c>
      <c r="HZ6" s="66" t="str">
        <f>AND('Conciliación Bancaria'!A107,"AAAAAH3y5ek=")</f>
        <v>#VALUE!</v>
      </c>
      <c r="IA6" s="66" t="str">
        <f>AND('Conciliación Bancaria'!B107,"AAAAAH3y5eo=")</f>
        <v>#VALUE!</v>
      </c>
      <c r="IB6" s="66" t="str">
        <f>AND('Conciliación Bancaria'!C107,"AAAAAH3y5es=")</f>
        <v>#VALUE!</v>
      </c>
      <c r="IC6" s="66" t="str">
        <f>AND('Conciliación Bancaria'!D107,"AAAAAH3y5ew=")</f>
        <v>#VALUE!</v>
      </c>
      <c r="ID6" s="66" t="str">
        <f>AND('Conciliación Bancaria'!E107,"AAAAAH3y5e0=")</f>
        <v>#VALUE!</v>
      </c>
      <c r="IE6" s="66" t="str">
        <f>AND('Conciliación Bancaria'!F107,"AAAAAH3y5e4=")</f>
        <v>#VALUE!</v>
      </c>
      <c r="IF6" s="66" t="str">
        <f>AND('Conciliación Bancaria'!G107,"AAAAAH3y5e8=")</f>
        <v>#VALUE!</v>
      </c>
      <c r="IG6" s="66" t="str">
        <f>AND('Conciliación Bancaria'!H107,"AAAAAH3y5fA=")</f>
        <v>#VALUE!</v>
      </c>
      <c r="IH6" s="66" t="str">
        <f>AND('Conciliación Bancaria'!I107,"AAAAAH3y5fE=")</f>
        <v>#VALUE!</v>
      </c>
      <c r="II6" s="66" t="str">
        <f>AND('Conciliación Bancaria'!J107,"AAAAAH3y5fI=")</f>
        <v>#VALUE!</v>
      </c>
      <c r="IJ6" s="66" t="str">
        <f>AND('Conciliación Bancaria'!K107,"AAAAAH3y5fM=")</f>
        <v>#VALUE!</v>
      </c>
      <c r="IK6" s="66" t="str">
        <f>AND('Conciliación Bancaria'!L107,"AAAAAH3y5fQ=")</f>
        <v>#VALUE!</v>
      </c>
      <c r="IL6" s="66" t="str">
        <f>AND('Conciliación Bancaria'!M107,"AAAAAH3y5fU=")</f>
        <v>#VALUE!</v>
      </c>
      <c r="IM6" s="66" t="str">
        <f>IF('Conciliación Bancaria'!$A108:$IU108,"AAAAAH3y5fY=",0)</f>
        <v>#VALUE!</v>
      </c>
      <c r="IN6" s="66" t="str">
        <f>AND('Conciliación Bancaria'!A108,"AAAAAH3y5fc=")</f>
        <v>#VALUE!</v>
      </c>
      <c r="IO6" s="66" t="str">
        <f>AND('Conciliación Bancaria'!B108,"AAAAAH3y5fg=")</f>
        <v>#VALUE!</v>
      </c>
      <c r="IP6" s="66" t="str">
        <f>AND('Conciliación Bancaria'!C108,"AAAAAH3y5fk=")</f>
        <v>#VALUE!</v>
      </c>
      <c r="IQ6" s="66" t="str">
        <f>AND('Conciliación Bancaria'!D108,"AAAAAH3y5fo=")</f>
        <v>#VALUE!</v>
      </c>
      <c r="IR6" s="66" t="str">
        <f>AND('Conciliación Bancaria'!E108,"AAAAAH3y5fs=")</f>
        <v>#VALUE!</v>
      </c>
      <c r="IS6" s="66" t="str">
        <f>AND('Conciliación Bancaria'!F108,"AAAAAH3y5fw=")</f>
        <v>#VALUE!</v>
      </c>
      <c r="IT6" s="66" t="str">
        <f>AND('Conciliación Bancaria'!G108,"AAAAAH3y5f0=")</f>
        <v>#VALUE!</v>
      </c>
      <c r="IU6" s="66" t="str">
        <f>AND('Conciliación Bancaria'!H108,"AAAAAH3y5f4=")</f>
        <v>#VALUE!</v>
      </c>
      <c r="IV6" s="66" t="str">
        <f>AND('Conciliación Bancaria'!I108,"AAAAAH3y5f8=")</f>
        <v>#VALUE!</v>
      </c>
    </row>
    <row r="7" ht="12.75" customHeight="1">
      <c r="A7" s="66" t="str">
        <f>AND('Conciliación Bancaria'!J108,"AAAAAH///wA=")</f>
        <v>#VALUE!</v>
      </c>
      <c r="B7" s="66" t="str">
        <f>AND('Conciliación Bancaria'!K108,"AAAAAH///wE=")</f>
        <v>#VALUE!</v>
      </c>
      <c r="C7" s="66" t="str">
        <f>AND('Conciliación Bancaria'!L108,"AAAAAH///wI=")</f>
        <v>#VALUE!</v>
      </c>
      <c r="D7" s="66" t="str">
        <f>AND('Conciliación Bancaria'!M108,"AAAAAH///wM=")</f>
        <v>#VALUE!</v>
      </c>
      <c r="E7" s="66">
        <f>IF('Conciliación Bancaria'!$A109:$IU109,"AAAAAH///wQ=",0)</f>
        <v>0</v>
      </c>
      <c r="F7" s="66" t="str">
        <f>AND('Conciliación Bancaria'!A109,"AAAAAH///wU=")</f>
        <v>#VALUE!</v>
      </c>
      <c r="G7" s="66" t="str">
        <f>AND('Conciliación Bancaria'!B109,"AAAAAH///wY=")</f>
        <v>#VALUE!</v>
      </c>
      <c r="H7" s="66" t="str">
        <f>AND('Conciliación Bancaria'!C109,"AAAAAH///wc=")</f>
        <v>#VALUE!</v>
      </c>
      <c r="I7" s="66" t="str">
        <f>AND('Conciliación Bancaria'!D109,"AAAAAH///wg=")</f>
        <v>#VALUE!</v>
      </c>
      <c r="J7" s="66" t="str">
        <f>AND('Conciliación Bancaria'!E109,"AAAAAH///wk=")</f>
        <v>#VALUE!</v>
      </c>
      <c r="K7" s="66" t="str">
        <f>AND('Conciliación Bancaria'!F109,"AAAAAH///wo=")</f>
        <v>#VALUE!</v>
      </c>
      <c r="L7" s="66" t="str">
        <f>AND('Conciliación Bancaria'!G109,"AAAAAH///ws=")</f>
        <v>#VALUE!</v>
      </c>
      <c r="M7" s="66" t="str">
        <f>AND('Conciliación Bancaria'!H109,"AAAAAH///ww=")</f>
        <v>#VALUE!</v>
      </c>
      <c r="N7" s="66" t="str">
        <f>AND('Conciliación Bancaria'!I109,"AAAAAH///w0=")</f>
        <v>#VALUE!</v>
      </c>
      <c r="O7" s="66" t="str">
        <f>AND('Conciliación Bancaria'!J109,"AAAAAH///w4=")</f>
        <v>#VALUE!</v>
      </c>
      <c r="P7" s="66" t="str">
        <f>AND('Conciliación Bancaria'!K109,"AAAAAH///w8=")</f>
        <v>#VALUE!</v>
      </c>
      <c r="Q7" s="66" t="str">
        <f>AND('Conciliación Bancaria'!L109,"AAAAAH///xA=")</f>
        <v>#VALUE!</v>
      </c>
      <c r="R7" s="66" t="str">
        <f>AND('Conciliación Bancaria'!M109,"AAAAAH///xE=")</f>
        <v>#VALUE!</v>
      </c>
      <c r="S7" s="66">
        <f>IF('Conciliación Bancaria'!$A110:$IU110,"AAAAAH///xI=",0)</f>
        <v>0</v>
      </c>
      <c r="T7" s="66" t="str">
        <f>AND('Conciliación Bancaria'!A110,"AAAAAH///xM=")</f>
        <v>#VALUE!</v>
      </c>
      <c r="U7" s="66" t="str">
        <f>AND('Conciliación Bancaria'!B110,"AAAAAH///xQ=")</f>
        <v>#VALUE!</v>
      </c>
      <c r="V7" s="66" t="str">
        <f>AND('Conciliación Bancaria'!C110,"AAAAAH///xU=")</f>
        <v>#VALUE!</v>
      </c>
      <c r="W7" s="66" t="str">
        <f>AND('Conciliación Bancaria'!D110,"AAAAAH///xY=")</f>
        <v>#VALUE!</v>
      </c>
      <c r="X7" s="66" t="str">
        <f>AND('Conciliación Bancaria'!E110,"AAAAAH///xc=")</f>
        <v>#VALUE!</v>
      </c>
      <c r="Y7" s="66" t="str">
        <f>AND('Conciliación Bancaria'!F110,"AAAAAH///xg=")</f>
        <v>#VALUE!</v>
      </c>
      <c r="Z7" s="66" t="str">
        <f>AND('Conciliación Bancaria'!G110,"AAAAAH///xk=")</f>
        <v>#VALUE!</v>
      </c>
      <c r="AA7" s="66" t="str">
        <f>AND('Conciliación Bancaria'!H110,"AAAAAH///xo=")</f>
        <v>#VALUE!</v>
      </c>
      <c r="AB7" s="66" t="str">
        <f>AND('Conciliación Bancaria'!I110,"AAAAAH///xs=")</f>
        <v>#VALUE!</v>
      </c>
      <c r="AC7" s="66" t="str">
        <f>AND('Conciliación Bancaria'!J110,"AAAAAH///xw=")</f>
        <v>#VALUE!</v>
      </c>
      <c r="AD7" s="66" t="str">
        <f>AND('Conciliación Bancaria'!K110,"AAAAAH///x0=")</f>
        <v>#VALUE!</v>
      </c>
      <c r="AE7" s="66" t="str">
        <f>AND('Conciliación Bancaria'!L110,"AAAAAH///x4=")</f>
        <v>#VALUE!</v>
      </c>
      <c r="AF7" s="66" t="str">
        <f>AND('Conciliación Bancaria'!M110,"AAAAAH///x8=")</f>
        <v>#VALUE!</v>
      </c>
      <c r="AG7" s="66" t="str">
        <f>IF('Conciliación Bancaria'!$A111:$IU111,"AAAAAH///yA=",0)</f>
        <v>#VALUE!</v>
      </c>
      <c r="AH7" s="66" t="str">
        <f>AND('Conciliación Bancaria'!A111,"AAAAAH///yE=")</f>
        <v>#VALUE!</v>
      </c>
      <c r="AI7" s="66" t="str">
        <f>AND('Conciliación Bancaria'!B111,"AAAAAH///yI=")</f>
        <v>#VALUE!</v>
      </c>
      <c r="AJ7" s="66" t="str">
        <f>AND('Conciliación Bancaria'!C111,"AAAAAH///yM=")</f>
        <v>#VALUE!</v>
      </c>
      <c r="AK7" s="66" t="str">
        <f>AND('Conciliación Bancaria'!D111,"AAAAAH///yQ=")</f>
        <v>#VALUE!</v>
      </c>
      <c r="AL7" s="66" t="str">
        <f>AND('Conciliación Bancaria'!E111,"AAAAAH///yU=")</f>
        <v>#VALUE!</v>
      </c>
      <c r="AM7" s="66" t="str">
        <f>AND('Conciliación Bancaria'!F111,"AAAAAH///yY=")</f>
        <v>#VALUE!</v>
      </c>
      <c r="AN7" s="66" t="str">
        <f>AND('Conciliación Bancaria'!G111,"AAAAAH///yc=")</f>
        <v>#VALUE!</v>
      </c>
      <c r="AO7" s="66" t="str">
        <f>AND('Conciliación Bancaria'!H111,"AAAAAH///yg=")</f>
        <v>#VALUE!</v>
      </c>
      <c r="AP7" s="66" t="str">
        <f>AND('Conciliación Bancaria'!I111,"AAAAAH///yk=")</f>
        <v>#VALUE!</v>
      </c>
      <c r="AQ7" s="66" t="str">
        <f>AND('Conciliación Bancaria'!J111,"AAAAAH///yo=")</f>
        <v>#VALUE!</v>
      </c>
      <c r="AR7" s="66" t="str">
        <f>AND('Conciliación Bancaria'!K111,"AAAAAH///ys=")</f>
        <v>#VALUE!</v>
      </c>
      <c r="AS7" s="66" t="str">
        <f>AND('Conciliación Bancaria'!L111,"AAAAAH///yw=")</f>
        <v>#VALUE!</v>
      </c>
      <c r="AT7" s="66" t="str">
        <f>AND('Conciliación Bancaria'!M111,"AAAAAH///y0=")</f>
        <v>#VALUE!</v>
      </c>
      <c r="AU7" s="66" t="str">
        <f>IF('Conciliación Bancaria'!$A112:$IU112,"AAAAAH///y4=",0)</f>
        <v>#VALUE!</v>
      </c>
      <c r="AV7" s="66" t="str">
        <f>AND('Conciliación Bancaria'!A112,"AAAAAH///y8=")</f>
        <v>#VALUE!</v>
      </c>
      <c r="AW7" s="66" t="str">
        <f>AND('Conciliación Bancaria'!B112,"AAAAAH///zA=")</f>
        <v>#VALUE!</v>
      </c>
      <c r="AX7" s="66" t="str">
        <f>AND('Conciliación Bancaria'!C112,"AAAAAH///zE=")</f>
        <v>#VALUE!</v>
      </c>
      <c r="AY7" s="66" t="str">
        <f>AND('Conciliación Bancaria'!D112,"AAAAAH///zI=")</f>
        <v>#VALUE!</v>
      </c>
      <c r="AZ7" s="66" t="str">
        <f>AND('Conciliación Bancaria'!E112,"AAAAAH///zM=")</f>
        <v>#VALUE!</v>
      </c>
      <c r="BA7" s="66" t="str">
        <f>AND('Conciliación Bancaria'!F112,"AAAAAH///zQ=")</f>
        <v>#VALUE!</v>
      </c>
      <c r="BB7" s="66" t="str">
        <f>AND('Conciliación Bancaria'!G112,"AAAAAH///zU=")</f>
        <v>#VALUE!</v>
      </c>
      <c r="BC7" s="66" t="str">
        <f>AND('Conciliación Bancaria'!H112,"AAAAAH///zY=")</f>
        <v>#VALUE!</v>
      </c>
      <c r="BD7" s="66" t="str">
        <f>AND('Conciliación Bancaria'!I112,"AAAAAH///zc=")</f>
        <v>#VALUE!</v>
      </c>
      <c r="BE7" s="66" t="str">
        <f>AND('Conciliación Bancaria'!J112,"AAAAAH///zg=")</f>
        <v>#VALUE!</v>
      </c>
      <c r="BF7" s="66" t="str">
        <f>AND('Conciliación Bancaria'!K112,"AAAAAH///zk=")</f>
        <v>#VALUE!</v>
      </c>
      <c r="BG7" s="66" t="str">
        <f>AND('Conciliación Bancaria'!L112,"AAAAAH///zo=")</f>
        <v>#VALUE!</v>
      </c>
      <c r="BH7" s="66" t="str">
        <f>AND('Conciliación Bancaria'!M112,"AAAAAH///zs=")</f>
        <v>#VALUE!</v>
      </c>
      <c r="BI7" s="66" t="str">
        <f>IF('Conciliación Bancaria'!$A113:$IU113,"AAAAAH///zw=",0)</f>
        <v>#VALUE!</v>
      </c>
      <c r="BJ7" s="66" t="str">
        <f>AND('Conciliación Bancaria'!A113,"AAAAAH///z0=")</f>
        <v>#VALUE!</v>
      </c>
      <c r="BK7" s="66" t="str">
        <f>AND('Conciliación Bancaria'!B113,"AAAAAH///z4=")</f>
        <v>#VALUE!</v>
      </c>
      <c r="BL7" s="66" t="str">
        <f>AND('Conciliación Bancaria'!C113,"AAAAAH///z8=")</f>
        <v>#VALUE!</v>
      </c>
      <c r="BM7" s="66" t="str">
        <f>AND('Conciliación Bancaria'!D113,"AAAAAH///0A=")</f>
        <v>#VALUE!</v>
      </c>
      <c r="BN7" s="66" t="str">
        <f>AND('Conciliación Bancaria'!E113,"AAAAAH///0E=")</f>
        <v>#VALUE!</v>
      </c>
      <c r="BO7" s="66" t="str">
        <f>AND('Conciliación Bancaria'!F113,"AAAAAH///0I=")</f>
        <v>#VALUE!</v>
      </c>
      <c r="BP7" s="66" t="str">
        <f>AND('Conciliación Bancaria'!G113,"AAAAAH///0M=")</f>
        <v>#VALUE!</v>
      </c>
      <c r="BQ7" s="66" t="str">
        <f>AND('Conciliación Bancaria'!H113,"AAAAAH///0Q=")</f>
        <v>#VALUE!</v>
      </c>
      <c r="BR7" s="66" t="str">
        <f>AND('Conciliación Bancaria'!I113,"AAAAAH///0U=")</f>
        <v>#VALUE!</v>
      </c>
      <c r="BS7" s="66" t="str">
        <f>AND('Conciliación Bancaria'!J113,"AAAAAH///0Y=")</f>
        <v>#VALUE!</v>
      </c>
      <c r="BT7" s="66" t="str">
        <f>AND('Conciliación Bancaria'!K113,"AAAAAH///0c=")</f>
        <v>#VALUE!</v>
      </c>
      <c r="BU7" s="66" t="str">
        <f>AND('Conciliación Bancaria'!L113,"AAAAAH///0g=")</f>
        <v>#VALUE!</v>
      </c>
      <c r="BV7" s="66" t="str">
        <f>AND('Conciliación Bancaria'!M113,"AAAAAH///0k=")</f>
        <v>#VALUE!</v>
      </c>
      <c r="BW7" s="66" t="str">
        <f>IF('Conciliación Bancaria'!$A114:$IU114,"AAAAAH///0o=",0)</f>
        <v>#VALUE!</v>
      </c>
      <c r="BX7" s="66" t="str">
        <f>AND('Conciliación Bancaria'!A114,"AAAAAH///0s=")</f>
        <v>#VALUE!</v>
      </c>
      <c r="BY7" s="66" t="str">
        <f>AND('Conciliación Bancaria'!B114,"AAAAAH///0w=")</f>
        <v>#VALUE!</v>
      </c>
      <c r="BZ7" s="66" t="str">
        <f>AND('Conciliación Bancaria'!C114,"AAAAAH///00=")</f>
        <v>#VALUE!</v>
      </c>
      <c r="CA7" s="66" t="str">
        <f>AND('Conciliación Bancaria'!D114,"AAAAAH///04=")</f>
        <v>#VALUE!</v>
      </c>
      <c r="CB7" s="66" t="str">
        <f>AND('Conciliación Bancaria'!E114,"AAAAAH///08=")</f>
        <v>#VALUE!</v>
      </c>
      <c r="CC7" s="66" t="str">
        <f>AND('Conciliación Bancaria'!F114,"AAAAAH///1A=")</f>
        <v>#VALUE!</v>
      </c>
      <c r="CD7" s="66" t="str">
        <f>AND('Conciliación Bancaria'!G114,"AAAAAH///1E=")</f>
        <v>#VALUE!</v>
      </c>
      <c r="CE7" s="66" t="str">
        <f>AND('Conciliación Bancaria'!H114,"AAAAAH///1I=")</f>
        <v>#VALUE!</v>
      </c>
      <c r="CF7" s="66" t="str">
        <f>AND('Conciliación Bancaria'!I114,"AAAAAH///1M=")</f>
        <v>#VALUE!</v>
      </c>
      <c r="CG7" s="66" t="str">
        <f>AND('Conciliación Bancaria'!J114,"AAAAAH///1Q=")</f>
        <v>#VALUE!</v>
      </c>
      <c r="CH7" s="66" t="str">
        <f>AND('Conciliación Bancaria'!K114,"AAAAAH///1U=")</f>
        <v>#VALUE!</v>
      </c>
      <c r="CI7" s="66" t="str">
        <f>AND('Conciliación Bancaria'!L114,"AAAAAH///1Y=")</f>
        <v>#VALUE!</v>
      </c>
      <c r="CJ7" s="66" t="str">
        <f>AND('Conciliación Bancaria'!M114,"AAAAAH///1c=")</f>
        <v>#VALUE!</v>
      </c>
      <c r="CK7" s="66" t="str">
        <f>IF('Conciliación Bancaria'!$A115:$IU115,"AAAAAH///1g=",0)</f>
        <v>#VALUE!</v>
      </c>
      <c r="CL7" s="66" t="str">
        <f>AND('Conciliación Bancaria'!A115,"AAAAAH///1k=")</f>
        <v>#VALUE!</v>
      </c>
      <c r="CM7" s="66" t="str">
        <f>AND('Conciliación Bancaria'!B115,"AAAAAH///1o=")</f>
        <v>#VALUE!</v>
      </c>
      <c r="CN7" s="66" t="b">
        <f>AND('Conciliación Bancaria'!C115,"AAAAAH///1s=")</f>
        <v>0</v>
      </c>
      <c r="CO7" s="66" t="str">
        <f>IF(#REF!,"AAAAAH///1w=",0)</f>
        <v>#REF!</v>
      </c>
      <c r="CP7" s="66">
        <f>IF('Conciliación Bancaria'!A:A,"AAAAAH///10=",0)</f>
        <v>0</v>
      </c>
      <c r="CQ7" s="66">
        <f>IF('Conciliación Bancaria'!B:B,"AAAAAH///14=",0)</f>
        <v>0</v>
      </c>
      <c r="CR7" s="66">
        <f>IF('Conciliación Bancaria'!C:C,"AAAAAH///18=",0)</f>
        <v>0</v>
      </c>
      <c r="CS7" s="66">
        <f>IF('Conciliación Bancaria'!D:D,"AAAAAH///2A=",0)</f>
        <v>0</v>
      </c>
      <c r="CT7" s="66">
        <f>IF('Conciliación Bancaria'!E:E,"AAAAAH///2E=",0)</f>
        <v>0</v>
      </c>
      <c r="CU7" s="66">
        <f>IF('Conciliación Bancaria'!F:F,"AAAAAH///2I=",0)</f>
        <v>0</v>
      </c>
      <c r="CV7" s="66">
        <f>IF('Conciliación Bancaria'!G:G,"AAAAAH///2M=",0)</f>
        <v>0</v>
      </c>
      <c r="CW7" s="66">
        <f>IF('Conciliación Bancaria'!H:H,"AAAAAH///2Q=",0)</f>
        <v>0</v>
      </c>
      <c r="CX7" s="66">
        <f>IF('Conciliación Bancaria'!I:I,"AAAAAH///2U=",0)</f>
        <v>0</v>
      </c>
      <c r="CY7" s="66">
        <f>IF('Conciliación Bancaria'!J:J,"AAAAAH///2Y=",0)</f>
        <v>0</v>
      </c>
      <c r="CZ7" s="66">
        <f>IF('Conciliación Bancaria'!K:K,"AAAAAH///2c=",0)</f>
        <v>0</v>
      </c>
      <c r="DA7" s="66">
        <f>IF('Conciliación Bancaria'!L:L,"AAAAAH///2g=",0)</f>
        <v>0</v>
      </c>
      <c r="DB7" s="66">
        <f>IF('Conciliación Bancaria'!M:M,"AAAAAH///2k=",0)</f>
        <v>0</v>
      </c>
      <c r="DC7" s="66" t="str">
        <f>IF(#REF!,"AAAAAH///2o=",0)</f>
        <v>#REF!</v>
      </c>
      <c r="DD7" s="66" t="str">
        <f>AND(#REF!,"AAAAAH///2s=")</f>
        <v>#REF!</v>
      </c>
      <c r="DE7" s="66" t="str">
        <f>AND(#REF!,"AAAAAH///2w=")</f>
        <v>#REF!</v>
      </c>
      <c r="DF7" s="66" t="str">
        <f>AND(#REF!,"AAAAAH///20=")</f>
        <v>#REF!</v>
      </c>
      <c r="DG7" s="66" t="str">
        <f>AND(#REF!,"AAAAAH///24=")</f>
        <v>#REF!</v>
      </c>
      <c r="DH7" s="66" t="str">
        <f>AND(#REF!,"AAAAAH///28=")</f>
        <v>#REF!</v>
      </c>
      <c r="DI7" s="66" t="str">
        <f>AND(#REF!,"AAAAAH///3A=")</f>
        <v>#REF!</v>
      </c>
      <c r="DJ7" s="66" t="str">
        <f>AND(#REF!,"AAAAAH///3E=")</f>
        <v>#REF!</v>
      </c>
      <c r="DK7" s="66" t="str">
        <f>AND(#REF!,"AAAAAH///3I=")</f>
        <v>#REF!</v>
      </c>
      <c r="DL7" s="66" t="str">
        <f>AND(#REF!,"AAAAAH///3M=")</f>
        <v>#REF!</v>
      </c>
      <c r="DM7" s="66" t="str">
        <f>AND(#REF!,"AAAAAH///3Q=")</f>
        <v>#REF!</v>
      </c>
      <c r="DN7" s="66" t="str">
        <f>AND(#REF!,"AAAAAH///3U=")</f>
        <v>#REF!</v>
      </c>
      <c r="DO7" s="66" t="str">
        <f>AND(#REF!,"AAAAAH///3Y=")</f>
        <v>#REF!</v>
      </c>
      <c r="DP7" s="66" t="str">
        <f>AND(#REF!,"AAAAAH///3c=")</f>
        <v>#REF!</v>
      </c>
      <c r="DQ7" s="66" t="str">
        <f>AND(#REF!,"AAAAAH///3g=")</f>
        <v>#REF!</v>
      </c>
      <c r="DR7" s="66" t="str">
        <f>AND(#REF!,"AAAAAH///3k=")</f>
        <v>#REF!</v>
      </c>
      <c r="DS7" s="66" t="str">
        <f>AND(#REF!,"AAAAAH///3o=")</f>
        <v>#REF!</v>
      </c>
      <c r="DT7" s="66" t="str">
        <f>AND(#REF!,"AAAAAH///3s=")</f>
        <v>#REF!</v>
      </c>
      <c r="DU7" s="66" t="str">
        <f>AND(#REF!,"AAAAAH///3w=")</f>
        <v>#REF!</v>
      </c>
      <c r="DV7" s="66" t="str">
        <f>AND(#REF!,"AAAAAH///30=")</f>
        <v>#REF!</v>
      </c>
      <c r="DW7" s="66" t="str">
        <f>AND(#REF!,"AAAAAH///34=")</f>
        <v>#REF!</v>
      </c>
      <c r="DX7" s="66" t="str">
        <f>AND(#REF!,"AAAAAH///38=")</f>
        <v>#REF!</v>
      </c>
      <c r="DY7" s="66" t="str">
        <f>AND(#REF!,"AAAAAH///4A=")</f>
        <v>#REF!</v>
      </c>
      <c r="DZ7" s="66" t="str">
        <f>AND(#REF!,"AAAAAH///4E=")</f>
        <v>#REF!</v>
      </c>
      <c r="EA7" s="66" t="str">
        <f>AND(#REF!,"AAAAAH///4I=")</f>
        <v>#REF!</v>
      </c>
      <c r="EB7" s="66" t="str">
        <f>AND(#REF!,"AAAAAH///4M=")</f>
        <v>#REF!</v>
      </c>
      <c r="EC7" s="66" t="str">
        <f>AND(#REF!,"AAAAAH///4Q=")</f>
        <v>#REF!</v>
      </c>
      <c r="ED7" s="66" t="str">
        <f>AND(#REF!,"AAAAAH///4U=")</f>
        <v>#REF!</v>
      </c>
      <c r="EE7" s="66" t="str">
        <f>AND(#REF!,"AAAAAH///4Y=")</f>
        <v>#REF!</v>
      </c>
      <c r="EF7" s="66" t="str">
        <f>AND(#REF!,"AAAAAH///4c=")</f>
        <v>#REF!</v>
      </c>
      <c r="EG7" s="66" t="str">
        <f>AND(#REF!,"AAAAAH///4g=")</f>
        <v>#REF!</v>
      </c>
      <c r="EH7" s="66" t="str">
        <f>AND(#REF!,"AAAAAH///4k=")</f>
        <v>#REF!</v>
      </c>
      <c r="EI7" s="66" t="str">
        <f>AND(#REF!,"AAAAAH///4o=")</f>
        <v>#REF!</v>
      </c>
      <c r="EJ7" s="66" t="str">
        <f>AND(#REF!,"AAAAAH///4s=")</f>
        <v>#REF!</v>
      </c>
      <c r="EK7" s="66" t="str">
        <f>AND(#REF!,"AAAAAH///4w=")</f>
        <v>#REF!</v>
      </c>
      <c r="EL7" s="66" t="str">
        <f>AND(#REF!,"AAAAAH///40=")</f>
        <v>#REF!</v>
      </c>
      <c r="EM7" s="66" t="str">
        <f>AND(#REF!,"AAAAAH///44=")</f>
        <v>#REF!</v>
      </c>
      <c r="EN7" s="66" t="str">
        <f>AND(#REF!,"AAAAAH///48=")</f>
        <v>#REF!</v>
      </c>
      <c r="EO7" s="66" t="str">
        <f>AND(#REF!,"AAAAAH///5A=")</f>
        <v>#REF!</v>
      </c>
      <c r="EP7" s="66" t="str">
        <f>AND(#REF!,"AAAAAH///5E=")</f>
        <v>#REF!</v>
      </c>
      <c r="EQ7" s="66" t="str">
        <f>AND(#REF!,"AAAAAH///5I=")</f>
        <v>#REF!</v>
      </c>
      <c r="ER7" s="66" t="str">
        <f>IF(#REF!,"AAAAAH///5M=",0)</f>
        <v>#REF!</v>
      </c>
      <c r="ES7" s="66" t="str">
        <f>AND(#REF!,"AAAAAH///5Q=")</f>
        <v>#REF!</v>
      </c>
      <c r="ET7" s="66" t="str">
        <f>AND(#REF!,"AAAAAH///5U=")</f>
        <v>#REF!</v>
      </c>
      <c r="EU7" s="66" t="str">
        <f>AND(#REF!,"AAAAAH///5Y=")</f>
        <v>#REF!</v>
      </c>
      <c r="EV7" s="66" t="str">
        <f>AND(#REF!,"AAAAAH///5c=")</f>
        <v>#REF!</v>
      </c>
      <c r="EW7" s="66" t="str">
        <f>AND(#REF!,"AAAAAH///5g=")</f>
        <v>#REF!</v>
      </c>
      <c r="EX7" s="66" t="str">
        <f>AND(#REF!,"AAAAAH///5k=")</f>
        <v>#REF!</v>
      </c>
      <c r="EY7" s="66" t="str">
        <f>AND(#REF!,"AAAAAH///5o=")</f>
        <v>#REF!</v>
      </c>
      <c r="EZ7" s="66" t="str">
        <f>AND(#REF!,"AAAAAH///5s=")</f>
        <v>#REF!</v>
      </c>
      <c r="FA7" s="66" t="str">
        <f>AND(#REF!,"AAAAAH///5w=")</f>
        <v>#REF!</v>
      </c>
      <c r="FB7" s="66" t="str">
        <f>AND(#REF!,"AAAAAH///50=")</f>
        <v>#REF!</v>
      </c>
      <c r="FC7" s="66" t="str">
        <f>AND(#REF!,"AAAAAH///54=")</f>
        <v>#REF!</v>
      </c>
      <c r="FD7" s="66" t="str">
        <f>AND(#REF!,"AAAAAH///58=")</f>
        <v>#REF!</v>
      </c>
      <c r="FE7" s="66" t="str">
        <f>AND(#REF!,"AAAAAH///6A=")</f>
        <v>#REF!</v>
      </c>
      <c r="FF7" s="66" t="str">
        <f>AND(#REF!,"AAAAAH///6E=")</f>
        <v>#REF!</v>
      </c>
      <c r="FG7" s="66" t="str">
        <f>AND(#REF!,"AAAAAH///6I=")</f>
        <v>#REF!</v>
      </c>
      <c r="FH7" s="66" t="str">
        <f>AND(#REF!,"AAAAAH///6M=")</f>
        <v>#REF!</v>
      </c>
      <c r="FI7" s="66" t="str">
        <f>AND(#REF!,"AAAAAH///6Q=")</f>
        <v>#REF!</v>
      </c>
      <c r="FJ7" s="66" t="str">
        <f>AND(#REF!,"AAAAAH///6U=")</f>
        <v>#REF!</v>
      </c>
      <c r="FK7" s="66" t="str">
        <f>AND(#REF!,"AAAAAH///6Y=")</f>
        <v>#REF!</v>
      </c>
      <c r="FL7" s="66" t="str">
        <f>AND(#REF!,"AAAAAH///6c=")</f>
        <v>#REF!</v>
      </c>
      <c r="FM7" s="66" t="str">
        <f>AND(#REF!,"AAAAAH///6g=")</f>
        <v>#REF!</v>
      </c>
      <c r="FN7" s="66" t="str">
        <f>AND(#REF!,"AAAAAH///6k=")</f>
        <v>#REF!</v>
      </c>
      <c r="FO7" s="66" t="str">
        <f>AND(#REF!,"AAAAAH///6o=")</f>
        <v>#REF!</v>
      </c>
      <c r="FP7" s="66" t="str">
        <f>AND(#REF!,"AAAAAH///6s=")</f>
        <v>#REF!</v>
      </c>
      <c r="FQ7" s="66" t="str">
        <f>AND(#REF!,"AAAAAH///6w=")</f>
        <v>#REF!</v>
      </c>
      <c r="FR7" s="66" t="str">
        <f>AND(#REF!,"AAAAAH///60=")</f>
        <v>#REF!</v>
      </c>
      <c r="FS7" s="66" t="str">
        <f>AND(#REF!,"AAAAAH///64=")</f>
        <v>#REF!</v>
      </c>
      <c r="FT7" s="66" t="str">
        <f>AND(#REF!,"AAAAAH///68=")</f>
        <v>#REF!</v>
      </c>
      <c r="FU7" s="66" t="str">
        <f>AND(#REF!,"AAAAAH///7A=")</f>
        <v>#REF!</v>
      </c>
      <c r="FV7" s="66" t="str">
        <f>AND(#REF!,"AAAAAH///7E=")</f>
        <v>#REF!</v>
      </c>
      <c r="FW7" s="66" t="str">
        <f>AND(#REF!,"AAAAAH///7I=")</f>
        <v>#REF!</v>
      </c>
      <c r="FX7" s="66" t="str">
        <f>AND(#REF!,"AAAAAH///7M=")</f>
        <v>#REF!</v>
      </c>
      <c r="FY7" s="66" t="str">
        <f>AND(#REF!,"AAAAAH///7Q=")</f>
        <v>#REF!</v>
      </c>
      <c r="FZ7" s="66" t="str">
        <f>AND(#REF!,"AAAAAH///7U=")</f>
        <v>#REF!</v>
      </c>
      <c r="GA7" s="66" t="str">
        <f>AND(#REF!,"AAAAAH///7Y=")</f>
        <v>#REF!</v>
      </c>
      <c r="GB7" s="66" t="str">
        <f>AND(#REF!,"AAAAAH///7c=")</f>
        <v>#REF!</v>
      </c>
      <c r="GC7" s="66" t="str">
        <f>AND(#REF!,"AAAAAH///7g=")</f>
        <v>#REF!</v>
      </c>
      <c r="GD7" s="66" t="str">
        <f>AND(#REF!,"AAAAAH///7k=")</f>
        <v>#REF!</v>
      </c>
      <c r="GE7" s="66" t="str">
        <f>AND(#REF!,"AAAAAH///7o=")</f>
        <v>#REF!</v>
      </c>
      <c r="GF7" s="66" t="str">
        <f>AND(#REF!,"AAAAAH///7s=")</f>
        <v>#REF!</v>
      </c>
      <c r="GG7" s="66" t="str">
        <f>IF(#REF!,"AAAAAH///7w=",0)</f>
        <v>#REF!</v>
      </c>
      <c r="GH7" s="66" t="str">
        <f>AND(#REF!,"AAAAAH///70=")</f>
        <v>#REF!</v>
      </c>
      <c r="GI7" s="66" t="str">
        <f>AND(#REF!,"AAAAAH///74=")</f>
        <v>#REF!</v>
      </c>
      <c r="GJ7" s="66" t="str">
        <f>AND(#REF!,"AAAAAH///78=")</f>
        <v>#REF!</v>
      </c>
      <c r="GK7" s="66" t="str">
        <f>AND(#REF!,"AAAAAH///8A=")</f>
        <v>#REF!</v>
      </c>
      <c r="GL7" s="66" t="str">
        <f>AND(#REF!,"AAAAAH///8E=")</f>
        <v>#REF!</v>
      </c>
      <c r="GM7" s="66" t="str">
        <f>AND(#REF!,"AAAAAH///8I=")</f>
        <v>#REF!</v>
      </c>
      <c r="GN7" s="66" t="str">
        <f>AND(#REF!,"AAAAAH///8M=")</f>
        <v>#REF!</v>
      </c>
      <c r="GO7" s="66" t="str">
        <f>AND(#REF!,"AAAAAH///8Q=")</f>
        <v>#REF!</v>
      </c>
      <c r="GP7" s="66" t="str">
        <f>AND(#REF!,"AAAAAH///8U=")</f>
        <v>#REF!</v>
      </c>
      <c r="GQ7" s="66" t="str">
        <f>AND(#REF!,"AAAAAH///8Y=")</f>
        <v>#REF!</v>
      </c>
      <c r="GR7" s="66" t="str">
        <f>AND(#REF!,"AAAAAH///8c=")</f>
        <v>#REF!</v>
      </c>
      <c r="GS7" s="66" t="str">
        <f>AND(#REF!,"AAAAAH///8g=")</f>
        <v>#REF!</v>
      </c>
      <c r="GT7" s="66" t="str">
        <f>AND(#REF!,"AAAAAH///8k=")</f>
        <v>#REF!</v>
      </c>
      <c r="GU7" s="66" t="str">
        <f>AND(#REF!,"AAAAAH///8o=")</f>
        <v>#REF!</v>
      </c>
      <c r="GV7" s="66" t="str">
        <f>AND(#REF!,"AAAAAH///8s=")</f>
        <v>#REF!</v>
      </c>
      <c r="GW7" s="66" t="str">
        <f>AND(#REF!,"AAAAAH///8w=")</f>
        <v>#REF!</v>
      </c>
      <c r="GX7" s="66" t="str">
        <f>AND(#REF!,"AAAAAH///80=")</f>
        <v>#REF!</v>
      </c>
      <c r="GY7" s="66" t="str">
        <f>AND(#REF!,"AAAAAH///84=")</f>
        <v>#REF!</v>
      </c>
      <c r="GZ7" s="66" t="str">
        <f>AND(#REF!,"AAAAAH///88=")</f>
        <v>#REF!</v>
      </c>
      <c r="HA7" s="66" t="str">
        <f>AND(#REF!,"AAAAAH///9A=")</f>
        <v>#REF!</v>
      </c>
      <c r="HB7" s="66" t="str">
        <f>AND(#REF!,"AAAAAH///9E=")</f>
        <v>#REF!</v>
      </c>
      <c r="HC7" s="66" t="str">
        <f>AND(#REF!,"AAAAAH///9I=")</f>
        <v>#REF!</v>
      </c>
      <c r="HD7" s="66" t="str">
        <f>AND(#REF!,"AAAAAH///9M=")</f>
        <v>#REF!</v>
      </c>
      <c r="HE7" s="66" t="str">
        <f>AND(#REF!,"AAAAAH///9Q=")</f>
        <v>#REF!</v>
      </c>
      <c r="HF7" s="66" t="str">
        <f>AND(#REF!,"AAAAAH///9U=")</f>
        <v>#REF!</v>
      </c>
      <c r="HG7" s="66" t="str">
        <f>AND(#REF!,"AAAAAH///9Y=")</f>
        <v>#REF!</v>
      </c>
      <c r="HH7" s="66" t="str">
        <f>AND(#REF!,"AAAAAH///9c=")</f>
        <v>#REF!</v>
      </c>
      <c r="HI7" s="66" t="str">
        <f>AND(#REF!,"AAAAAH///9g=")</f>
        <v>#REF!</v>
      </c>
      <c r="HJ7" s="66" t="str">
        <f>AND(#REF!,"AAAAAH///9k=")</f>
        <v>#REF!</v>
      </c>
      <c r="HK7" s="66" t="str">
        <f>AND(#REF!,"AAAAAH///9o=")</f>
        <v>#REF!</v>
      </c>
      <c r="HL7" s="66" t="str">
        <f>AND(#REF!,"AAAAAH///9s=")</f>
        <v>#REF!</v>
      </c>
      <c r="HM7" s="66" t="str">
        <f>AND(#REF!,"AAAAAH///9w=")</f>
        <v>#REF!</v>
      </c>
      <c r="HN7" s="66" t="str">
        <f>AND(#REF!,"AAAAAH///90=")</f>
        <v>#REF!</v>
      </c>
      <c r="HO7" s="66" t="str">
        <f>AND(#REF!,"AAAAAH///94=")</f>
        <v>#REF!</v>
      </c>
      <c r="HP7" s="66" t="str">
        <f>AND(#REF!,"AAAAAH///98=")</f>
        <v>#REF!</v>
      </c>
      <c r="HQ7" s="66" t="str">
        <f>AND(#REF!,"AAAAAH///+A=")</f>
        <v>#REF!</v>
      </c>
      <c r="HR7" s="66" t="str">
        <f>AND(#REF!,"AAAAAH///+E=")</f>
        <v>#REF!</v>
      </c>
      <c r="HS7" s="66" t="str">
        <f>AND(#REF!,"AAAAAH///+I=")</f>
        <v>#REF!</v>
      </c>
      <c r="HT7" s="66" t="str">
        <f>AND(#REF!,"AAAAAH///+M=")</f>
        <v>#REF!</v>
      </c>
      <c r="HU7" s="66" t="str">
        <f>AND(#REF!,"AAAAAH///+Q=")</f>
        <v>#REF!</v>
      </c>
      <c r="HV7" s="66" t="str">
        <f>IF(#REF!,"AAAAAH///+U=",0)</f>
        <v>#REF!</v>
      </c>
      <c r="HW7" s="66" t="str">
        <f>AND(#REF!,"AAAAAH///+Y=")</f>
        <v>#REF!</v>
      </c>
      <c r="HX7" s="66" t="str">
        <f>AND(#REF!,"AAAAAH///+c=")</f>
        <v>#REF!</v>
      </c>
      <c r="HY7" s="66" t="str">
        <f>AND(#REF!,"AAAAAH///+g=")</f>
        <v>#REF!</v>
      </c>
      <c r="HZ7" s="66" t="str">
        <f>AND(#REF!,"AAAAAH///+k=")</f>
        <v>#REF!</v>
      </c>
      <c r="IA7" s="66" t="str">
        <f>AND(#REF!,"AAAAAH///+o=")</f>
        <v>#REF!</v>
      </c>
      <c r="IB7" s="66" t="str">
        <f>AND(#REF!,"AAAAAH///+s=")</f>
        <v>#REF!</v>
      </c>
      <c r="IC7" s="66" t="str">
        <f>AND(#REF!,"AAAAAH///+w=")</f>
        <v>#REF!</v>
      </c>
      <c r="ID7" s="66" t="str">
        <f>AND(#REF!,"AAAAAH///+0=")</f>
        <v>#REF!</v>
      </c>
      <c r="IE7" s="66" t="str">
        <f>AND(#REF!,"AAAAAH///+4=")</f>
        <v>#REF!</v>
      </c>
      <c r="IF7" s="66" t="str">
        <f>AND(#REF!,"AAAAAH///+8=")</f>
        <v>#REF!</v>
      </c>
      <c r="IG7" s="66" t="str">
        <f>AND(#REF!,"AAAAAH////A=")</f>
        <v>#REF!</v>
      </c>
      <c r="IH7" s="66" t="str">
        <f>AND(#REF!,"AAAAAH////E=")</f>
        <v>#REF!</v>
      </c>
      <c r="II7" s="66" t="str">
        <f>AND(#REF!,"AAAAAH////I=")</f>
        <v>#REF!</v>
      </c>
      <c r="IJ7" s="66" t="str">
        <f>AND(#REF!,"AAAAAH////M=")</f>
        <v>#REF!</v>
      </c>
      <c r="IK7" s="66" t="str">
        <f>AND(#REF!,"AAAAAH////Q=")</f>
        <v>#REF!</v>
      </c>
      <c r="IL7" s="66" t="str">
        <f>AND(#REF!,"AAAAAH////U=")</f>
        <v>#REF!</v>
      </c>
      <c r="IM7" s="66" t="str">
        <f>AND(#REF!,"AAAAAH////Y=")</f>
        <v>#REF!</v>
      </c>
      <c r="IN7" s="66" t="str">
        <f>AND(#REF!,"AAAAAH////c=")</f>
        <v>#REF!</v>
      </c>
      <c r="IO7" s="66" t="str">
        <f>AND(#REF!,"AAAAAH////g=")</f>
        <v>#REF!</v>
      </c>
      <c r="IP7" s="66" t="str">
        <f>AND(#REF!,"AAAAAH////k=")</f>
        <v>#REF!</v>
      </c>
      <c r="IQ7" s="66" t="str">
        <f>AND(#REF!,"AAAAAH////o=")</f>
        <v>#REF!</v>
      </c>
      <c r="IR7" s="66" t="str">
        <f>AND(#REF!,"AAAAAH////s=")</f>
        <v>#REF!</v>
      </c>
      <c r="IS7" s="66" t="str">
        <f>AND(#REF!,"AAAAAH////w=")</f>
        <v>#REF!</v>
      </c>
      <c r="IT7" s="66" t="str">
        <f>AND(#REF!,"AAAAAH////0=")</f>
        <v>#REF!</v>
      </c>
      <c r="IU7" s="66" t="str">
        <f>AND(#REF!,"AAAAAH////4=")</f>
        <v>#REF!</v>
      </c>
      <c r="IV7" s="66" t="str">
        <f>AND(#REF!,"AAAAAH////8=")</f>
        <v>#REF!</v>
      </c>
    </row>
    <row r="8" ht="12.75" customHeight="1">
      <c r="A8" s="66" t="str">
        <f>AND(#REF!,"AAAAADf/iwA=")</f>
        <v>#REF!</v>
      </c>
      <c r="B8" s="66" t="str">
        <f>AND(#REF!,"AAAAADf/iwE=")</f>
        <v>#REF!</v>
      </c>
      <c r="C8" s="66" t="str">
        <f>AND(#REF!,"AAAAADf/iwI=")</f>
        <v>#REF!</v>
      </c>
      <c r="D8" s="66" t="str">
        <f>AND(#REF!,"AAAAADf/iwM=")</f>
        <v>#REF!</v>
      </c>
      <c r="E8" s="66" t="str">
        <f>AND(#REF!,"AAAAADf/iwQ=")</f>
        <v>#REF!</v>
      </c>
      <c r="F8" s="66" t="str">
        <f>AND(#REF!,"AAAAADf/iwU=")</f>
        <v>#REF!</v>
      </c>
      <c r="G8" s="66" t="str">
        <f>AND(#REF!,"AAAAADf/iwY=")</f>
        <v>#REF!</v>
      </c>
      <c r="H8" s="66" t="str">
        <f>AND(#REF!,"AAAAADf/iwc=")</f>
        <v>#REF!</v>
      </c>
      <c r="I8" s="66" t="str">
        <f>AND(#REF!,"AAAAADf/iwg=")</f>
        <v>#REF!</v>
      </c>
      <c r="J8" s="66" t="str">
        <f>AND(#REF!,"AAAAADf/iwk=")</f>
        <v>#REF!</v>
      </c>
      <c r="K8" s="66" t="str">
        <f>AND(#REF!,"AAAAADf/iwo=")</f>
        <v>#REF!</v>
      </c>
      <c r="L8" s="66" t="str">
        <f>AND(#REF!,"AAAAADf/iws=")</f>
        <v>#REF!</v>
      </c>
      <c r="M8" s="66" t="str">
        <f>AND(#REF!,"AAAAADf/iww=")</f>
        <v>#REF!</v>
      </c>
      <c r="N8" s="66" t="str">
        <f>AND(#REF!,"AAAAADf/iw0=")</f>
        <v>#REF!</v>
      </c>
      <c r="O8" s="66" t="str">
        <f>IF(#REF!,"AAAAADf/iw4=",0)</f>
        <v>#REF!</v>
      </c>
      <c r="P8" s="66" t="str">
        <f>AND(#REF!,"AAAAADf/iw8=")</f>
        <v>#REF!</v>
      </c>
      <c r="Q8" s="66" t="str">
        <f>AND(#REF!,"AAAAADf/ixA=")</f>
        <v>#REF!</v>
      </c>
      <c r="R8" s="66" t="str">
        <f>AND(#REF!,"AAAAADf/ixE=")</f>
        <v>#REF!</v>
      </c>
      <c r="S8" s="66" t="str">
        <f>AND(#REF!,"AAAAADf/ixI=")</f>
        <v>#REF!</v>
      </c>
      <c r="T8" s="66" t="str">
        <f>AND(#REF!,"AAAAADf/ixM=")</f>
        <v>#REF!</v>
      </c>
      <c r="U8" s="66" t="str">
        <f>AND(#REF!,"AAAAADf/ixQ=")</f>
        <v>#REF!</v>
      </c>
      <c r="V8" s="66" t="str">
        <f>AND(#REF!,"AAAAADf/ixU=")</f>
        <v>#REF!</v>
      </c>
      <c r="W8" s="66" t="str">
        <f>AND(#REF!,"AAAAADf/ixY=")</f>
        <v>#REF!</v>
      </c>
      <c r="X8" s="66" t="str">
        <f>AND(#REF!,"AAAAADf/ixc=")</f>
        <v>#REF!</v>
      </c>
      <c r="Y8" s="66" t="str">
        <f>AND(#REF!,"AAAAADf/ixg=")</f>
        <v>#REF!</v>
      </c>
      <c r="Z8" s="66" t="str">
        <f>AND(#REF!,"AAAAADf/ixk=")</f>
        <v>#REF!</v>
      </c>
      <c r="AA8" s="66" t="str">
        <f>AND(#REF!,"AAAAADf/ixo=")</f>
        <v>#REF!</v>
      </c>
      <c r="AB8" s="66" t="str">
        <f>AND(#REF!,"AAAAADf/ixs=")</f>
        <v>#REF!</v>
      </c>
      <c r="AC8" s="66" t="str">
        <f>AND(#REF!,"AAAAADf/ixw=")</f>
        <v>#REF!</v>
      </c>
      <c r="AD8" s="66" t="str">
        <f>AND(#REF!,"AAAAADf/ix0=")</f>
        <v>#REF!</v>
      </c>
      <c r="AE8" s="66" t="str">
        <f>AND(#REF!,"AAAAADf/ix4=")</f>
        <v>#REF!</v>
      </c>
      <c r="AF8" s="66" t="str">
        <f>AND(#REF!,"AAAAADf/ix8=")</f>
        <v>#REF!</v>
      </c>
      <c r="AG8" s="66" t="str">
        <f>AND(#REF!,"AAAAADf/iyA=")</f>
        <v>#REF!</v>
      </c>
      <c r="AH8" s="66" t="str">
        <f>AND(#REF!,"AAAAADf/iyE=")</f>
        <v>#REF!</v>
      </c>
      <c r="AI8" s="66" t="str">
        <f>AND(#REF!,"AAAAADf/iyI=")</f>
        <v>#REF!</v>
      </c>
      <c r="AJ8" s="66" t="str">
        <f>AND(#REF!,"AAAAADf/iyM=")</f>
        <v>#REF!</v>
      </c>
      <c r="AK8" s="66" t="str">
        <f>AND(#REF!,"AAAAADf/iyQ=")</f>
        <v>#REF!</v>
      </c>
      <c r="AL8" s="66" t="str">
        <f>AND(#REF!,"AAAAADf/iyU=")</f>
        <v>#REF!</v>
      </c>
      <c r="AM8" s="66" t="str">
        <f>AND(#REF!,"AAAAADf/iyY=")</f>
        <v>#REF!</v>
      </c>
      <c r="AN8" s="66" t="str">
        <f>AND(#REF!,"AAAAADf/iyc=")</f>
        <v>#REF!</v>
      </c>
      <c r="AO8" s="66" t="str">
        <f>AND(#REF!,"AAAAADf/iyg=")</f>
        <v>#REF!</v>
      </c>
      <c r="AP8" s="66" t="str">
        <f>AND(#REF!,"AAAAADf/iyk=")</f>
        <v>#REF!</v>
      </c>
      <c r="AQ8" s="66" t="str">
        <f>AND(#REF!,"AAAAADf/iyo=")</f>
        <v>#REF!</v>
      </c>
      <c r="AR8" s="66" t="str">
        <f>AND(#REF!,"AAAAADf/iys=")</f>
        <v>#REF!</v>
      </c>
      <c r="AS8" s="66" t="str">
        <f>AND(#REF!,"AAAAADf/iyw=")</f>
        <v>#REF!</v>
      </c>
      <c r="AT8" s="66" t="str">
        <f>AND(#REF!,"AAAAADf/iy0=")</f>
        <v>#REF!</v>
      </c>
      <c r="AU8" s="66" t="str">
        <f>AND(#REF!,"AAAAADf/iy4=")</f>
        <v>#REF!</v>
      </c>
      <c r="AV8" s="66" t="str">
        <f>AND(#REF!,"AAAAADf/iy8=")</f>
        <v>#REF!</v>
      </c>
      <c r="AW8" s="66" t="str">
        <f>AND(#REF!,"AAAAADf/izA=")</f>
        <v>#REF!</v>
      </c>
      <c r="AX8" s="66" t="str">
        <f>AND(#REF!,"AAAAADf/izE=")</f>
        <v>#REF!</v>
      </c>
      <c r="AY8" s="66" t="str">
        <f>AND(#REF!,"AAAAADf/izI=")</f>
        <v>#REF!</v>
      </c>
      <c r="AZ8" s="66" t="str">
        <f>AND(#REF!,"AAAAADf/izM=")</f>
        <v>#REF!</v>
      </c>
      <c r="BA8" s="66" t="str">
        <f>AND(#REF!,"AAAAADf/izQ=")</f>
        <v>#REF!</v>
      </c>
      <c r="BB8" s="66" t="str">
        <f>AND(#REF!,"AAAAADf/izU=")</f>
        <v>#REF!</v>
      </c>
      <c r="BC8" s="66" t="str">
        <f>AND(#REF!,"AAAAADf/izY=")</f>
        <v>#REF!</v>
      </c>
      <c r="BD8" s="66" t="str">
        <f>IF(#REF!,"AAAAADf/izc=",0)</f>
        <v>#REF!</v>
      </c>
      <c r="BE8" s="66" t="str">
        <f>AND(#REF!,"AAAAADf/izg=")</f>
        <v>#REF!</v>
      </c>
      <c r="BF8" s="66" t="str">
        <f>AND(#REF!,"AAAAADf/izk=")</f>
        <v>#REF!</v>
      </c>
      <c r="BG8" s="66" t="str">
        <f>AND(#REF!,"AAAAADf/izo=")</f>
        <v>#REF!</v>
      </c>
      <c r="BH8" s="66" t="str">
        <f>AND(#REF!,"AAAAADf/izs=")</f>
        <v>#REF!</v>
      </c>
      <c r="BI8" s="66" t="str">
        <f>AND(#REF!,"AAAAADf/izw=")</f>
        <v>#REF!</v>
      </c>
      <c r="BJ8" s="66" t="str">
        <f>AND(#REF!,"AAAAADf/iz0=")</f>
        <v>#REF!</v>
      </c>
      <c r="BK8" s="66" t="str">
        <f>AND(#REF!,"AAAAADf/iz4=")</f>
        <v>#REF!</v>
      </c>
      <c r="BL8" s="66" t="str">
        <f>AND(#REF!,"AAAAADf/iz8=")</f>
        <v>#REF!</v>
      </c>
      <c r="BM8" s="66" t="str">
        <f>AND(#REF!,"AAAAADf/i0A=")</f>
        <v>#REF!</v>
      </c>
      <c r="BN8" s="66" t="str">
        <f>AND(#REF!,"AAAAADf/i0E=")</f>
        <v>#REF!</v>
      </c>
      <c r="BO8" s="66" t="str">
        <f>AND(#REF!,"AAAAADf/i0I=")</f>
        <v>#REF!</v>
      </c>
      <c r="BP8" s="66" t="str">
        <f>AND(#REF!,"AAAAADf/i0M=")</f>
        <v>#REF!</v>
      </c>
      <c r="BQ8" s="66" t="str">
        <f>AND(#REF!,"AAAAADf/i0Q=")</f>
        <v>#REF!</v>
      </c>
      <c r="BR8" s="66" t="str">
        <f>AND(#REF!,"AAAAADf/i0U=")</f>
        <v>#REF!</v>
      </c>
      <c r="BS8" s="66" t="str">
        <f>AND(#REF!,"AAAAADf/i0Y=")</f>
        <v>#REF!</v>
      </c>
      <c r="BT8" s="66" t="str">
        <f>AND(#REF!,"AAAAADf/i0c=")</f>
        <v>#REF!</v>
      </c>
      <c r="BU8" s="66" t="str">
        <f>AND(#REF!,"AAAAADf/i0g=")</f>
        <v>#REF!</v>
      </c>
      <c r="BV8" s="66" t="str">
        <f>AND(#REF!,"AAAAADf/i0k=")</f>
        <v>#REF!</v>
      </c>
      <c r="BW8" s="66" t="str">
        <f>AND(#REF!,"AAAAADf/i0o=")</f>
        <v>#REF!</v>
      </c>
      <c r="BX8" s="66" t="str">
        <f>AND(#REF!,"AAAAADf/i0s=")</f>
        <v>#REF!</v>
      </c>
      <c r="BY8" s="66" t="str">
        <f>AND(#REF!,"AAAAADf/i0w=")</f>
        <v>#REF!</v>
      </c>
      <c r="BZ8" s="66" t="str">
        <f>AND(#REF!,"AAAAADf/i00=")</f>
        <v>#REF!</v>
      </c>
      <c r="CA8" s="66" t="str">
        <f>AND(#REF!,"AAAAADf/i04=")</f>
        <v>#REF!</v>
      </c>
      <c r="CB8" s="66" t="str">
        <f>AND(#REF!,"AAAAADf/i08=")</f>
        <v>#REF!</v>
      </c>
      <c r="CC8" s="66" t="str">
        <f>AND(#REF!,"AAAAADf/i1A=")</f>
        <v>#REF!</v>
      </c>
      <c r="CD8" s="66" t="str">
        <f>AND(#REF!,"AAAAADf/i1E=")</f>
        <v>#REF!</v>
      </c>
      <c r="CE8" s="66" t="str">
        <f>AND(#REF!,"AAAAADf/i1I=")</f>
        <v>#REF!</v>
      </c>
      <c r="CF8" s="66" t="str">
        <f>AND(#REF!,"AAAAADf/i1M=")</f>
        <v>#REF!</v>
      </c>
      <c r="CG8" s="66" t="str">
        <f>AND(#REF!,"AAAAADf/i1Q=")</f>
        <v>#REF!</v>
      </c>
      <c r="CH8" s="66" t="str">
        <f>AND(#REF!,"AAAAADf/i1U=")</f>
        <v>#REF!</v>
      </c>
      <c r="CI8" s="66" t="str">
        <f>AND(#REF!,"AAAAADf/i1Y=")</f>
        <v>#REF!</v>
      </c>
      <c r="CJ8" s="66" t="str">
        <f>AND(#REF!,"AAAAADf/i1c=")</f>
        <v>#REF!</v>
      </c>
      <c r="CK8" s="66" t="str">
        <f>AND(#REF!,"AAAAADf/i1g=")</f>
        <v>#REF!</v>
      </c>
      <c r="CL8" s="66" t="str">
        <f>AND(#REF!,"AAAAADf/i1k=")</f>
        <v>#REF!</v>
      </c>
      <c r="CM8" s="66" t="str">
        <f>AND(#REF!,"AAAAADf/i1o=")</f>
        <v>#REF!</v>
      </c>
      <c r="CN8" s="66" t="str">
        <f>AND(#REF!,"AAAAADf/i1s=")</f>
        <v>#REF!</v>
      </c>
      <c r="CO8" s="66" t="str">
        <f>AND(#REF!,"AAAAADf/i1w=")</f>
        <v>#REF!</v>
      </c>
      <c r="CP8" s="66" t="str">
        <f>AND(#REF!,"AAAAADf/i10=")</f>
        <v>#REF!</v>
      </c>
      <c r="CQ8" s="66" t="str">
        <f>AND(#REF!,"AAAAADf/i14=")</f>
        <v>#REF!</v>
      </c>
      <c r="CR8" s="66" t="str">
        <f>AND(#REF!,"AAAAADf/i18=")</f>
        <v>#REF!</v>
      </c>
      <c r="CS8" s="66" t="str">
        <f>IF(#REF!,"AAAAADf/i2A=",0)</f>
        <v>#REF!</v>
      </c>
      <c r="CT8" s="66" t="str">
        <f>AND(#REF!,"AAAAADf/i2E=")</f>
        <v>#REF!</v>
      </c>
      <c r="CU8" s="66" t="str">
        <f>AND(#REF!,"AAAAADf/i2I=")</f>
        <v>#REF!</v>
      </c>
      <c r="CV8" s="66" t="str">
        <f>AND(#REF!,"AAAAADf/i2M=")</f>
        <v>#REF!</v>
      </c>
      <c r="CW8" s="66" t="str">
        <f>AND(#REF!,"AAAAADf/i2Q=")</f>
        <v>#REF!</v>
      </c>
      <c r="CX8" s="66" t="str">
        <f>AND(#REF!,"AAAAADf/i2U=")</f>
        <v>#REF!</v>
      </c>
      <c r="CY8" s="66" t="str">
        <f>AND(#REF!,"AAAAADf/i2Y=")</f>
        <v>#REF!</v>
      </c>
      <c r="CZ8" s="66" t="str">
        <f>AND(#REF!,"AAAAADf/i2c=")</f>
        <v>#REF!</v>
      </c>
      <c r="DA8" s="66" t="str">
        <f>AND(#REF!,"AAAAADf/i2g=")</f>
        <v>#REF!</v>
      </c>
      <c r="DB8" s="66" t="str">
        <f>AND(#REF!,"AAAAADf/i2k=")</f>
        <v>#REF!</v>
      </c>
      <c r="DC8" s="66" t="str">
        <f>AND(#REF!,"AAAAADf/i2o=")</f>
        <v>#REF!</v>
      </c>
      <c r="DD8" s="66" t="str">
        <f>AND(#REF!,"AAAAADf/i2s=")</f>
        <v>#REF!</v>
      </c>
      <c r="DE8" s="66" t="str">
        <f>AND(#REF!,"AAAAADf/i2w=")</f>
        <v>#REF!</v>
      </c>
      <c r="DF8" s="66" t="str">
        <f>AND(#REF!,"AAAAADf/i20=")</f>
        <v>#REF!</v>
      </c>
      <c r="DG8" s="66" t="str">
        <f>AND(#REF!,"AAAAADf/i24=")</f>
        <v>#REF!</v>
      </c>
      <c r="DH8" s="66" t="str">
        <f>AND(#REF!,"AAAAADf/i28=")</f>
        <v>#REF!</v>
      </c>
      <c r="DI8" s="66" t="str">
        <f>AND(#REF!,"AAAAADf/i3A=")</f>
        <v>#REF!</v>
      </c>
      <c r="DJ8" s="66" t="str">
        <f>AND(#REF!,"AAAAADf/i3E=")</f>
        <v>#REF!</v>
      </c>
      <c r="DK8" s="66" t="str">
        <f>AND(#REF!,"AAAAADf/i3I=")</f>
        <v>#REF!</v>
      </c>
      <c r="DL8" s="66" t="str">
        <f>AND(#REF!,"AAAAADf/i3M=")</f>
        <v>#REF!</v>
      </c>
      <c r="DM8" s="66" t="str">
        <f>AND(#REF!,"AAAAADf/i3Q=")</f>
        <v>#REF!</v>
      </c>
      <c r="DN8" s="66" t="str">
        <f>AND(#REF!,"AAAAADf/i3U=")</f>
        <v>#REF!</v>
      </c>
      <c r="DO8" s="66" t="str">
        <f>AND(#REF!,"AAAAADf/i3Y=")</f>
        <v>#REF!</v>
      </c>
      <c r="DP8" s="66" t="str">
        <f>AND(#REF!,"AAAAADf/i3c=")</f>
        <v>#REF!</v>
      </c>
      <c r="DQ8" s="66" t="str">
        <f>AND(#REF!,"AAAAADf/i3g=")</f>
        <v>#REF!</v>
      </c>
      <c r="DR8" s="66" t="str">
        <f>AND(#REF!,"AAAAADf/i3k=")</f>
        <v>#REF!</v>
      </c>
      <c r="DS8" s="66" t="str">
        <f>AND(#REF!,"AAAAADf/i3o=")</f>
        <v>#REF!</v>
      </c>
      <c r="DT8" s="66" t="str">
        <f>AND(#REF!,"AAAAADf/i3s=")</f>
        <v>#REF!</v>
      </c>
      <c r="DU8" s="66" t="str">
        <f>AND(#REF!,"AAAAADf/i3w=")</f>
        <v>#REF!</v>
      </c>
      <c r="DV8" s="66" t="str">
        <f>AND(#REF!,"AAAAADf/i30=")</f>
        <v>#REF!</v>
      </c>
      <c r="DW8" s="66" t="str">
        <f>AND(#REF!,"AAAAADf/i34=")</f>
        <v>#REF!</v>
      </c>
      <c r="DX8" s="66" t="str">
        <f>AND(#REF!,"AAAAADf/i38=")</f>
        <v>#REF!</v>
      </c>
      <c r="DY8" s="66" t="str">
        <f>AND(#REF!,"AAAAADf/i4A=")</f>
        <v>#REF!</v>
      </c>
      <c r="DZ8" s="66" t="str">
        <f>AND(#REF!,"AAAAADf/i4E=")</f>
        <v>#REF!</v>
      </c>
      <c r="EA8" s="66" t="str">
        <f>AND(#REF!,"AAAAADf/i4I=")</f>
        <v>#REF!</v>
      </c>
      <c r="EB8" s="66" t="str">
        <f>AND(#REF!,"AAAAADf/i4M=")</f>
        <v>#REF!</v>
      </c>
      <c r="EC8" s="66" t="str">
        <f>AND(#REF!,"AAAAADf/i4Q=")</f>
        <v>#REF!</v>
      </c>
      <c r="ED8" s="66" t="str">
        <f>AND(#REF!,"AAAAADf/i4U=")</f>
        <v>#REF!</v>
      </c>
      <c r="EE8" s="66" t="str">
        <f>AND(#REF!,"AAAAADf/i4Y=")</f>
        <v>#REF!</v>
      </c>
      <c r="EF8" s="66" t="str">
        <f>AND(#REF!,"AAAAADf/i4c=")</f>
        <v>#REF!</v>
      </c>
      <c r="EG8" s="66" t="str">
        <f>AND(#REF!,"AAAAADf/i4g=")</f>
        <v>#REF!</v>
      </c>
      <c r="EH8" s="66" t="str">
        <f>IF(#REF!,"AAAAADf/i4k=",0)</f>
        <v>#REF!</v>
      </c>
      <c r="EI8" s="66" t="str">
        <f>AND(#REF!,"AAAAADf/i4o=")</f>
        <v>#REF!</v>
      </c>
      <c r="EJ8" s="66" t="str">
        <f>AND(#REF!,"AAAAADf/i4s=")</f>
        <v>#REF!</v>
      </c>
      <c r="EK8" s="66" t="str">
        <f>AND(#REF!,"AAAAADf/i4w=")</f>
        <v>#REF!</v>
      </c>
      <c r="EL8" s="66" t="str">
        <f>AND(#REF!,"AAAAADf/i40=")</f>
        <v>#REF!</v>
      </c>
      <c r="EM8" s="66" t="str">
        <f>AND(#REF!,"AAAAADf/i44=")</f>
        <v>#REF!</v>
      </c>
      <c r="EN8" s="66" t="str">
        <f>AND(#REF!,"AAAAADf/i48=")</f>
        <v>#REF!</v>
      </c>
      <c r="EO8" s="66" t="str">
        <f>AND(#REF!,"AAAAADf/i5A=")</f>
        <v>#REF!</v>
      </c>
      <c r="EP8" s="66" t="str">
        <f>AND(#REF!,"AAAAADf/i5E=")</f>
        <v>#REF!</v>
      </c>
      <c r="EQ8" s="66" t="str">
        <f>AND(#REF!,"AAAAADf/i5I=")</f>
        <v>#REF!</v>
      </c>
      <c r="ER8" s="66" t="str">
        <f>AND(#REF!,"AAAAADf/i5M=")</f>
        <v>#REF!</v>
      </c>
      <c r="ES8" s="66" t="str">
        <f>AND(#REF!,"AAAAADf/i5Q=")</f>
        <v>#REF!</v>
      </c>
      <c r="ET8" s="66" t="str">
        <f>AND(#REF!,"AAAAADf/i5U=")</f>
        <v>#REF!</v>
      </c>
      <c r="EU8" s="66" t="str">
        <f>AND(#REF!,"AAAAADf/i5Y=")</f>
        <v>#REF!</v>
      </c>
      <c r="EV8" s="66" t="str">
        <f>AND(#REF!,"AAAAADf/i5c=")</f>
        <v>#REF!</v>
      </c>
      <c r="EW8" s="66" t="str">
        <f>AND(#REF!,"AAAAADf/i5g=")</f>
        <v>#REF!</v>
      </c>
      <c r="EX8" s="66" t="str">
        <f>AND(#REF!,"AAAAADf/i5k=")</f>
        <v>#REF!</v>
      </c>
      <c r="EY8" s="66" t="str">
        <f>AND(#REF!,"AAAAADf/i5o=")</f>
        <v>#REF!</v>
      </c>
      <c r="EZ8" s="66" t="str">
        <f>AND(#REF!,"AAAAADf/i5s=")</f>
        <v>#REF!</v>
      </c>
      <c r="FA8" s="66" t="str">
        <f>AND(#REF!,"AAAAADf/i5w=")</f>
        <v>#REF!</v>
      </c>
      <c r="FB8" s="66" t="str">
        <f>AND(#REF!,"AAAAADf/i50=")</f>
        <v>#REF!</v>
      </c>
      <c r="FC8" s="66" t="str">
        <f>AND(#REF!,"AAAAADf/i54=")</f>
        <v>#REF!</v>
      </c>
      <c r="FD8" s="66" t="str">
        <f>AND(#REF!,"AAAAADf/i58=")</f>
        <v>#REF!</v>
      </c>
      <c r="FE8" s="66" t="str">
        <f>AND(#REF!,"AAAAADf/i6A=")</f>
        <v>#REF!</v>
      </c>
      <c r="FF8" s="66" t="str">
        <f>AND(#REF!,"AAAAADf/i6E=")</f>
        <v>#REF!</v>
      </c>
      <c r="FG8" s="66" t="str">
        <f>AND(#REF!,"AAAAADf/i6I=")</f>
        <v>#REF!</v>
      </c>
      <c r="FH8" s="66" t="str">
        <f>AND(#REF!,"AAAAADf/i6M=")</f>
        <v>#REF!</v>
      </c>
      <c r="FI8" s="66" t="str">
        <f>AND(#REF!,"AAAAADf/i6Q=")</f>
        <v>#REF!</v>
      </c>
      <c r="FJ8" s="66" t="str">
        <f>AND(#REF!,"AAAAADf/i6U=")</f>
        <v>#REF!</v>
      </c>
      <c r="FK8" s="66" t="str">
        <f>AND(#REF!,"AAAAADf/i6Y=")</f>
        <v>#REF!</v>
      </c>
      <c r="FL8" s="66" t="str">
        <f>AND(#REF!,"AAAAADf/i6c=")</f>
        <v>#REF!</v>
      </c>
      <c r="FM8" s="66" t="str">
        <f>AND(#REF!,"AAAAADf/i6g=")</f>
        <v>#REF!</v>
      </c>
      <c r="FN8" s="66" t="str">
        <f>AND(#REF!,"AAAAADf/i6k=")</f>
        <v>#REF!</v>
      </c>
      <c r="FO8" s="66" t="str">
        <f>AND(#REF!,"AAAAADf/i6o=")</f>
        <v>#REF!</v>
      </c>
      <c r="FP8" s="66" t="str">
        <f>AND(#REF!,"AAAAADf/i6s=")</f>
        <v>#REF!</v>
      </c>
      <c r="FQ8" s="66" t="str">
        <f>AND(#REF!,"AAAAADf/i6w=")</f>
        <v>#REF!</v>
      </c>
      <c r="FR8" s="66" t="str">
        <f>AND(#REF!,"AAAAADf/i60=")</f>
        <v>#REF!</v>
      </c>
      <c r="FS8" s="66" t="str">
        <f>AND(#REF!,"AAAAADf/i64=")</f>
        <v>#REF!</v>
      </c>
      <c r="FT8" s="66" t="str">
        <f>AND(#REF!,"AAAAADf/i68=")</f>
        <v>#REF!</v>
      </c>
      <c r="FU8" s="66" t="str">
        <f>AND(#REF!,"AAAAADf/i7A=")</f>
        <v>#REF!</v>
      </c>
      <c r="FV8" s="66" t="str">
        <f>AND(#REF!,"AAAAADf/i7E=")</f>
        <v>#REF!</v>
      </c>
      <c r="FW8" s="66" t="str">
        <f>IF(#REF!,"AAAAADf/i7I=",0)</f>
        <v>#REF!</v>
      </c>
      <c r="FX8" s="66" t="str">
        <f>AND(#REF!,"AAAAADf/i7M=")</f>
        <v>#REF!</v>
      </c>
      <c r="FY8" s="66" t="str">
        <f>AND(#REF!,"AAAAADf/i7Q=")</f>
        <v>#REF!</v>
      </c>
      <c r="FZ8" s="66" t="str">
        <f>AND(#REF!,"AAAAADf/i7U=")</f>
        <v>#REF!</v>
      </c>
      <c r="GA8" s="66" t="str">
        <f>AND(#REF!,"AAAAADf/i7Y=")</f>
        <v>#REF!</v>
      </c>
      <c r="GB8" s="66" t="str">
        <f>AND(#REF!,"AAAAADf/i7c=")</f>
        <v>#REF!</v>
      </c>
      <c r="GC8" s="66" t="str">
        <f>AND(#REF!,"AAAAADf/i7g=")</f>
        <v>#REF!</v>
      </c>
      <c r="GD8" s="66" t="str">
        <f>AND(#REF!,"AAAAADf/i7k=")</f>
        <v>#REF!</v>
      </c>
      <c r="GE8" s="66" t="str">
        <f>AND(#REF!,"AAAAADf/i7o=")</f>
        <v>#REF!</v>
      </c>
      <c r="GF8" s="66" t="str">
        <f>AND(#REF!,"AAAAADf/i7s=")</f>
        <v>#REF!</v>
      </c>
      <c r="GG8" s="66" t="str">
        <f>AND(#REF!,"AAAAADf/i7w=")</f>
        <v>#REF!</v>
      </c>
      <c r="GH8" s="66" t="str">
        <f>AND(#REF!,"AAAAADf/i70=")</f>
        <v>#REF!</v>
      </c>
      <c r="GI8" s="66" t="str">
        <f>AND(#REF!,"AAAAADf/i74=")</f>
        <v>#REF!</v>
      </c>
      <c r="GJ8" s="66" t="str">
        <f>AND(#REF!,"AAAAADf/i78=")</f>
        <v>#REF!</v>
      </c>
      <c r="GK8" s="66" t="str">
        <f>AND(#REF!,"AAAAADf/i8A=")</f>
        <v>#REF!</v>
      </c>
      <c r="GL8" s="66" t="str">
        <f>AND(#REF!,"AAAAADf/i8E=")</f>
        <v>#REF!</v>
      </c>
      <c r="GM8" s="66" t="str">
        <f>AND(#REF!,"AAAAADf/i8I=")</f>
        <v>#REF!</v>
      </c>
      <c r="GN8" s="66" t="str">
        <f>AND(#REF!,"AAAAADf/i8M=")</f>
        <v>#REF!</v>
      </c>
      <c r="GO8" s="66" t="str">
        <f>AND(#REF!,"AAAAADf/i8Q=")</f>
        <v>#REF!</v>
      </c>
      <c r="GP8" s="66" t="str">
        <f>AND(#REF!,"AAAAADf/i8U=")</f>
        <v>#REF!</v>
      </c>
      <c r="GQ8" s="66" t="str">
        <f>AND(#REF!,"AAAAADf/i8Y=")</f>
        <v>#REF!</v>
      </c>
      <c r="GR8" s="66" t="str">
        <f>AND(#REF!,"AAAAADf/i8c=")</f>
        <v>#REF!</v>
      </c>
      <c r="GS8" s="66" t="str">
        <f>AND(#REF!,"AAAAADf/i8g=")</f>
        <v>#REF!</v>
      </c>
      <c r="GT8" s="66" t="str">
        <f>AND(#REF!,"AAAAADf/i8k=")</f>
        <v>#REF!</v>
      </c>
      <c r="GU8" s="66" t="str">
        <f>AND(#REF!,"AAAAADf/i8o=")</f>
        <v>#REF!</v>
      </c>
      <c r="GV8" s="66" t="str">
        <f>AND(#REF!,"AAAAADf/i8s=")</f>
        <v>#REF!</v>
      </c>
      <c r="GW8" s="66" t="str">
        <f>AND(#REF!,"AAAAADf/i8w=")</f>
        <v>#REF!</v>
      </c>
      <c r="GX8" s="66" t="str">
        <f>AND(#REF!,"AAAAADf/i80=")</f>
        <v>#REF!</v>
      </c>
      <c r="GY8" s="66" t="str">
        <f>AND(#REF!,"AAAAADf/i84=")</f>
        <v>#REF!</v>
      </c>
      <c r="GZ8" s="66" t="str">
        <f>AND(#REF!,"AAAAADf/i88=")</f>
        <v>#REF!</v>
      </c>
      <c r="HA8" s="66" t="str">
        <f>AND(#REF!,"AAAAADf/i9A=")</f>
        <v>#REF!</v>
      </c>
      <c r="HB8" s="66" t="str">
        <f>AND(#REF!,"AAAAADf/i9E=")</f>
        <v>#REF!</v>
      </c>
      <c r="HC8" s="66" t="str">
        <f>AND(#REF!,"AAAAADf/i9I=")</f>
        <v>#REF!</v>
      </c>
      <c r="HD8" s="66" t="str">
        <f>AND(#REF!,"AAAAADf/i9M=")</f>
        <v>#REF!</v>
      </c>
      <c r="HE8" s="66" t="str">
        <f>AND(#REF!,"AAAAADf/i9Q=")</f>
        <v>#REF!</v>
      </c>
      <c r="HF8" s="66" t="str">
        <f>AND(#REF!,"AAAAADf/i9U=")</f>
        <v>#REF!</v>
      </c>
      <c r="HG8" s="66" t="str">
        <f>AND(#REF!,"AAAAADf/i9Y=")</f>
        <v>#REF!</v>
      </c>
      <c r="HH8" s="66" t="str">
        <f>AND(#REF!,"AAAAADf/i9c=")</f>
        <v>#REF!</v>
      </c>
      <c r="HI8" s="66" t="str">
        <f>AND(#REF!,"AAAAADf/i9g=")</f>
        <v>#REF!</v>
      </c>
      <c r="HJ8" s="66" t="str">
        <f>AND(#REF!,"AAAAADf/i9k=")</f>
        <v>#REF!</v>
      </c>
      <c r="HK8" s="66" t="str">
        <f>AND(#REF!,"AAAAADf/i9o=")</f>
        <v>#REF!</v>
      </c>
      <c r="HL8" s="66" t="str">
        <f>IF(#REF!,"AAAAADf/i9s=",0)</f>
        <v>#REF!</v>
      </c>
      <c r="HM8" s="66" t="str">
        <f>AND(#REF!,"AAAAADf/i9w=")</f>
        <v>#REF!</v>
      </c>
      <c r="HN8" s="66" t="str">
        <f>AND(#REF!,"AAAAADf/i90=")</f>
        <v>#REF!</v>
      </c>
      <c r="HO8" s="66" t="str">
        <f>AND(#REF!,"AAAAADf/i94=")</f>
        <v>#REF!</v>
      </c>
      <c r="HP8" s="66" t="str">
        <f>AND(#REF!,"AAAAADf/i98=")</f>
        <v>#REF!</v>
      </c>
      <c r="HQ8" s="66" t="str">
        <f>AND(#REF!,"AAAAADf/i+A=")</f>
        <v>#REF!</v>
      </c>
      <c r="HR8" s="66" t="str">
        <f>AND(#REF!,"AAAAADf/i+E=")</f>
        <v>#REF!</v>
      </c>
      <c r="HS8" s="66" t="str">
        <f>AND(#REF!,"AAAAADf/i+I=")</f>
        <v>#REF!</v>
      </c>
      <c r="HT8" s="66" t="str">
        <f>AND(#REF!,"AAAAADf/i+M=")</f>
        <v>#REF!</v>
      </c>
      <c r="HU8" s="66" t="str">
        <f>AND(#REF!,"AAAAADf/i+Q=")</f>
        <v>#REF!</v>
      </c>
      <c r="HV8" s="66" t="str">
        <f>AND(#REF!,"AAAAADf/i+U=")</f>
        <v>#REF!</v>
      </c>
      <c r="HW8" s="66" t="str">
        <f>AND(#REF!,"AAAAADf/i+Y=")</f>
        <v>#REF!</v>
      </c>
      <c r="HX8" s="66" t="str">
        <f>AND(#REF!,"AAAAADf/i+c=")</f>
        <v>#REF!</v>
      </c>
      <c r="HY8" s="66" t="str">
        <f>AND(#REF!,"AAAAADf/i+g=")</f>
        <v>#REF!</v>
      </c>
      <c r="HZ8" s="66" t="str">
        <f>AND(#REF!,"AAAAADf/i+k=")</f>
        <v>#REF!</v>
      </c>
      <c r="IA8" s="66" t="str">
        <f>AND(#REF!,"AAAAADf/i+o=")</f>
        <v>#REF!</v>
      </c>
      <c r="IB8" s="66" t="str">
        <f>AND(#REF!,"AAAAADf/i+s=")</f>
        <v>#REF!</v>
      </c>
      <c r="IC8" s="66" t="str">
        <f>AND(#REF!,"AAAAADf/i+w=")</f>
        <v>#REF!</v>
      </c>
      <c r="ID8" s="66" t="str">
        <f>AND(#REF!,"AAAAADf/i+0=")</f>
        <v>#REF!</v>
      </c>
      <c r="IE8" s="66" t="str">
        <f>AND(#REF!,"AAAAADf/i+4=")</f>
        <v>#REF!</v>
      </c>
      <c r="IF8" s="66" t="str">
        <f>AND(#REF!,"AAAAADf/i+8=")</f>
        <v>#REF!</v>
      </c>
      <c r="IG8" s="66" t="str">
        <f>AND(#REF!,"AAAAADf/i/A=")</f>
        <v>#REF!</v>
      </c>
      <c r="IH8" s="66" t="str">
        <f>AND(#REF!,"AAAAADf/i/E=")</f>
        <v>#REF!</v>
      </c>
      <c r="II8" s="66" t="str">
        <f>AND(#REF!,"AAAAADf/i/I=")</f>
        <v>#REF!</v>
      </c>
      <c r="IJ8" s="66" t="str">
        <f>AND(#REF!,"AAAAADf/i/M=")</f>
        <v>#REF!</v>
      </c>
      <c r="IK8" s="66" t="str">
        <f>AND(#REF!,"AAAAADf/i/Q=")</f>
        <v>#REF!</v>
      </c>
      <c r="IL8" s="66" t="str">
        <f>AND(#REF!,"AAAAADf/i/U=")</f>
        <v>#REF!</v>
      </c>
      <c r="IM8" s="66" t="str">
        <f>AND(#REF!,"AAAAADf/i/Y=")</f>
        <v>#REF!</v>
      </c>
      <c r="IN8" s="66" t="str">
        <f>AND(#REF!,"AAAAADf/i/c=")</f>
        <v>#REF!</v>
      </c>
      <c r="IO8" s="66" t="str">
        <f>AND(#REF!,"AAAAADf/i/g=")</f>
        <v>#REF!</v>
      </c>
      <c r="IP8" s="66" t="str">
        <f>AND(#REF!,"AAAAADf/i/k=")</f>
        <v>#REF!</v>
      </c>
      <c r="IQ8" s="66" t="str">
        <f>AND(#REF!,"AAAAADf/i/o=")</f>
        <v>#REF!</v>
      </c>
      <c r="IR8" s="66" t="str">
        <f>AND(#REF!,"AAAAADf/i/s=")</f>
        <v>#REF!</v>
      </c>
      <c r="IS8" s="66" t="str">
        <f>AND(#REF!,"AAAAADf/i/w=")</f>
        <v>#REF!</v>
      </c>
      <c r="IT8" s="66" t="str">
        <f>AND(#REF!,"AAAAADf/i/0=")</f>
        <v>#REF!</v>
      </c>
      <c r="IU8" s="66" t="str">
        <f>AND(#REF!,"AAAAADf/i/4=")</f>
        <v>#REF!</v>
      </c>
      <c r="IV8" s="66" t="str">
        <f>AND(#REF!,"AAAAADf/i/8=")</f>
        <v>#REF!</v>
      </c>
    </row>
    <row r="9" ht="12.75" customHeight="1">
      <c r="A9" s="66" t="str">
        <f>AND(#REF!,"AAAAAD/TuwA=")</f>
        <v>#REF!</v>
      </c>
      <c r="B9" s="66" t="str">
        <f>AND(#REF!,"AAAAAD/TuwE=")</f>
        <v>#REF!</v>
      </c>
      <c r="C9" s="66" t="str">
        <f>AND(#REF!,"AAAAAD/TuwI=")</f>
        <v>#REF!</v>
      </c>
      <c r="D9" s="66" t="str">
        <f>AND(#REF!,"AAAAAD/TuwM=")</f>
        <v>#REF!</v>
      </c>
      <c r="E9" s="66" t="str">
        <f>IF(#REF!,"AAAAAD/TuwQ=",0)</f>
        <v>#REF!</v>
      </c>
      <c r="F9" s="66" t="str">
        <f>AND(#REF!,"AAAAAD/TuwU=")</f>
        <v>#REF!</v>
      </c>
      <c r="G9" s="66" t="str">
        <f>AND(#REF!,"AAAAAD/TuwY=")</f>
        <v>#REF!</v>
      </c>
      <c r="H9" s="66" t="str">
        <f>AND(#REF!,"AAAAAD/Tuwc=")</f>
        <v>#REF!</v>
      </c>
      <c r="I9" s="66" t="str">
        <f>AND(#REF!,"AAAAAD/Tuwg=")</f>
        <v>#REF!</v>
      </c>
      <c r="J9" s="66" t="str">
        <f>AND(#REF!,"AAAAAD/Tuwk=")</f>
        <v>#REF!</v>
      </c>
      <c r="K9" s="66" t="str">
        <f>AND(#REF!,"AAAAAD/Tuwo=")</f>
        <v>#REF!</v>
      </c>
      <c r="L9" s="66" t="str">
        <f>AND(#REF!,"AAAAAD/Tuws=")</f>
        <v>#REF!</v>
      </c>
      <c r="M9" s="66" t="str">
        <f>AND(#REF!,"AAAAAD/Tuww=")</f>
        <v>#REF!</v>
      </c>
      <c r="N9" s="66" t="str">
        <f>AND(#REF!,"AAAAAD/Tuw0=")</f>
        <v>#REF!</v>
      </c>
      <c r="O9" s="66" t="str">
        <f>AND(#REF!,"AAAAAD/Tuw4=")</f>
        <v>#REF!</v>
      </c>
      <c r="P9" s="66" t="str">
        <f>AND(#REF!,"AAAAAD/Tuw8=")</f>
        <v>#REF!</v>
      </c>
      <c r="Q9" s="66" t="str">
        <f>AND(#REF!,"AAAAAD/TuxA=")</f>
        <v>#REF!</v>
      </c>
      <c r="R9" s="66" t="str">
        <f>AND(#REF!,"AAAAAD/TuxE=")</f>
        <v>#REF!</v>
      </c>
      <c r="S9" s="66" t="str">
        <f>AND(#REF!,"AAAAAD/TuxI=")</f>
        <v>#REF!</v>
      </c>
      <c r="T9" s="66" t="str">
        <f>AND(#REF!,"AAAAAD/TuxM=")</f>
        <v>#REF!</v>
      </c>
      <c r="U9" s="66" t="str">
        <f>AND(#REF!,"AAAAAD/TuxQ=")</f>
        <v>#REF!</v>
      </c>
      <c r="V9" s="66" t="str">
        <f>AND(#REF!,"AAAAAD/TuxU=")</f>
        <v>#REF!</v>
      </c>
      <c r="W9" s="66" t="str">
        <f>AND(#REF!,"AAAAAD/TuxY=")</f>
        <v>#REF!</v>
      </c>
      <c r="X9" s="66" t="str">
        <f>AND(#REF!,"AAAAAD/Tuxc=")</f>
        <v>#REF!</v>
      </c>
      <c r="Y9" s="66" t="str">
        <f>AND(#REF!,"AAAAAD/Tuxg=")</f>
        <v>#REF!</v>
      </c>
      <c r="Z9" s="66" t="str">
        <f>AND(#REF!,"AAAAAD/Tuxk=")</f>
        <v>#REF!</v>
      </c>
      <c r="AA9" s="66" t="str">
        <f>AND(#REF!,"AAAAAD/Tuxo=")</f>
        <v>#REF!</v>
      </c>
      <c r="AB9" s="66" t="str">
        <f>AND(#REF!,"AAAAAD/Tuxs=")</f>
        <v>#REF!</v>
      </c>
      <c r="AC9" s="66" t="str">
        <f>AND(#REF!,"AAAAAD/Tuxw=")</f>
        <v>#REF!</v>
      </c>
      <c r="AD9" s="66" t="str">
        <f>AND(#REF!,"AAAAAD/Tux0=")</f>
        <v>#REF!</v>
      </c>
      <c r="AE9" s="66" t="str">
        <f>AND(#REF!,"AAAAAD/Tux4=")</f>
        <v>#REF!</v>
      </c>
      <c r="AF9" s="66" t="str">
        <f>AND(#REF!,"AAAAAD/Tux8=")</f>
        <v>#REF!</v>
      </c>
      <c r="AG9" s="66" t="str">
        <f>AND(#REF!,"AAAAAD/TuyA=")</f>
        <v>#REF!</v>
      </c>
      <c r="AH9" s="66" t="str">
        <f>AND(#REF!,"AAAAAD/TuyE=")</f>
        <v>#REF!</v>
      </c>
      <c r="AI9" s="66" t="str">
        <f>AND(#REF!,"AAAAAD/TuyI=")</f>
        <v>#REF!</v>
      </c>
      <c r="AJ9" s="66" t="str">
        <f>AND(#REF!,"AAAAAD/TuyM=")</f>
        <v>#REF!</v>
      </c>
      <c r="AK9" s="66" t="str">
        <f>AND(#REF!,"AAAAAD/TuyQ=")</f>
        <v>#REF!</v>
      </c>
      <c r="AL9" s="66" t="str">
        <f>AND(#REF!,"AAAAAD/TuyU=")</f>
        <v>#REF!</v>
      </c>
      <c r="AM9" s="66" t="str">
        <f>AND(#REF!,"AAAAAD/TuyY=")</f>
        <v>#REF!</v>
      </c>
      <c r="AN9" s="66" t="str">
        <f>AND(#REF!,"AAAAAD/Tuyc=")</f>
        <v>#REF!</v>
      </c>
      <c r="AO9" s="66" t="str">
        <f>AND(#REF!,"AAAAAD/Tuyg=")</f>
        <v>#REF!</v>
      </c>
      <c r="AP9" s="66" t="str">
        <f>AND(#REF!,"AAAAAD/Tuyk=")</f>
        <v>#REF!</v>
      </c>
      <c r="AQ9" s="66" t="str">
        <f>AND(#REF!,"AAAAAD/Tuyo=")</f>
        <v>#REF!</v>
      </c>
      <c r="AR9" s="66" t="str">
        <f>AND(#REF!,"AAAAAD/Tuys=")</f>
        <v>#REF!</v>
      </c>
      <c r="AS9" s="66" t="str">
        <f>AND(#REF!,"AAAAAD/Tuyw=")</f>
        <v>#REF!</v>
      </c>
      <c r="AT9" s="66" t="str">
        <f>IF(#REF!,"AAAAAD/Tuy0=",0)</f>
        <v>#REF!</v>
      </c>
      <c r="AU9" s="66" t="str">
        <f>AND(#REF!,"AAAAAD/Tuy4=")</f>
        <v>#REF!</v>
      </c>
      <c r="AV9" s="66" t="str">
        <f>AND(#REF!,"AAAAAD/Tuy8=")</f>
        <v>#REF!</v>
      </c>
      <c r="AW9" s="66" t="str">
        <f>AND(#REF!,"AAAAAD/TuzA=")</f>
        <v>#REF!</v>
      </c>
      <c r="AX9" s="66" t="str">
        <f>AND(#REF!,"AAAAAD/TuzE=")</f>
        <v>#REF!</v>
      </c>
      <c r="AY9" s="66" t="str">
        <f>AND(#REF!,"AAAAAD/TuzI=")</f>
        <v>#REF!</v>
      </c>
      <c r="AZ9" s="66" t="str">
        <f>AND(#REF!,"AAAAAD/TuzM=")</f>
        <v>#REF!</v>
      </c>
      <c r="BA9" s="66" t="str">
        <f>AND(#REF!,"AAAAAD/TuzQ=")</f>
        <v>#REF!</v>
      </c>
      <c r="BB9" s="66" t="str">
        <f>AND(#REF!,"AAAAAD/TuzU=")</f>
        <v>#REF!</v>
      </c>
      <c r="BC9" s="66" t="str">
        <f>AND(#REF!,"AAAAAD/TuzY=")</f>
        <v>#REF!</v>
      </c>
      <c r="BD9" s="66" t="str">
        <f>AND(#REF!,"AAAAAD/Tuzc=")</f>
        <v>#REF!</v>
      </c>
      <c r="BE9" s="66" t="str">
        <f>AND(#REF!,"AAAAAD/Tuzg=")</f>
        <v>#REF!</v>
      </c>
      <c r="BF9" s="66" t="str">
        <f>AND(#REF!,"AAAAAD/Tuzk=")</f>
        <v>#REF!</v>
      </c>
      <c r="BG9" s="66" t="str">
        <f>AND(#REF!,"AAAAAD/Tuzo=")</f>
        <v>#REF!</v>
      </c>
      <c r="BH9" s="66" t="str">
        <f>AND(#REF!,"AAAAAD/Tuzs=")</f>
        <v>#REF!</v>
      </c>
      <c r="BI9" s="66" t="str">
        <f>AND(#REF!,"AAAAAD/Tuzw=")</f>
        <v>#REF!</v>
      </c>
      <c r="BJ9" s="66" t="str">
        <f>AND(#REF!,"AAAAAD/Tuz0=")</f>
        <v>#REF!</v>
      </c>
      <c r="BK9" s="66" t="str">
        <f>AND(#REF!,"AAAAAD/Tuz4=")</f>
        <v>#REF!</v>
      </c>
      <c r="BL9" s="66" t="str">
        <f>AND(#REF!,"AAAAAD/Tuz8=")</f>
        <v>#REF!</v>
      </c>
      <c r="BM9" s="66" t="str">
        <f>AND(#REF!,"AAAAAD/Tu0A=")</f>
        <v>#REF!</v>
      </c>
      <c r="BN9" s="66" t="str">
        <f>AND(#REF!,"AAAAAD/Tu0E=")</f>
        <v>#REF!</v>
      </c>
      <c r="BO9" s="66" t="str">
        <f>AND(#REF!,"AAAAAD/Tu0I=")</f>
        <v>#REF!</v>
      </c>
      <c r="BP9" s="66" t="str">
        <f>AND(#REF!,"AAAAAD/Tu0M=")</f>
        <v>#REF!</v>
      </c>
      <c r="BQ9" s="66" t="str">
        <f>AND(#REF!,"AAAAAD/Tu0Q=")</f>
        <v>#REF!</v>
      </c>
      <c r="BR9" s="66" t="str">
        <f>AND(#REF!,"AAAAAD/Tu0U=")</f>
        <v>#REF!</v>
      </c>
      <c r="BS9" s="66" t="str">
        <f>AND(#REF!,"AAAAAD/Tu0Y=")</f>
        <v>#REF!</v>
      </c>
      <c r="BT9" s="66" t="str">
        <f>AND(#REF!,"AAAAAD/Tu0c=")</f>
        <v>#REF!</v>
      </c>
      <c r="BU9" s="66" t="str">
        <f>AND(#REF!,"AAAAAD/Tu0g=")</f>
        <v>#REF!</v>
      </c>
      <c r="BV9" s="66" t="str">
        <f>AND(#REF!,"AAAAAD/Tu0k=")</f>
        <v>#REF!</v>
      </c>
      <c r="BW9" s="66" t="str">
        <f>AND(#REF!,"AAAAAD/Tu0o=")</f>
        <v>#REF!</v>
      </c>
      <c r="BX9" s="66" t="str">
        <f>AND(#REF!,"AAAAAD/Tu0s=")</f>
        <v>#REF!</v>
      </c>
      <c r="BY9" s="66" t="str">
        <f>AND(#REF!,"AAAAAD/Tu0w=")</f>
        <v>#REF!</v>
      </c>
      <c r="BZ9" s="66" t="str">
        <f>AND(#REF!,"AAAAAD/Tu00=")</f>
        <v>#REF!</v>
      </c>
      <c r="CA9" s="66" t="str">
        <f>AND(#REF!,"AAAAAD/Tu04=")</f>
        <v>#REF!</v>
      </c>
      <c r="CB9" s="66" t="str">
        <f>AND(#REF!,"AAAAAD/Tu08=")</f>
        <v>#REF!</v>
      </c>
      <c r="CC9" s="66" t="str">
        <f>AND(#REF!,"AAAAAD/Tu1A=")</f>
        <v>#REF!</v>
      </c>
      <c r="CD9" s="66" t="str">
        <f>AND(#REF!,"AAAAAD/Tu1E=")</f>
        <v>#REF!</v>
      </c>
      <c r="CE9" s="66" t="str">
        <f>AND(#REF!,"AAAAAD/Tu1I=")</f>
        <v>#REF!</v>
      </c>
      <c r="CF9" s="66" t="str">
        <f>AND(#REF!,"AAAAAD/Tu1M=")</f>
        <v>#REF!</v>
      </c>
      <c r="CG9" s="66" t="str">
        <f>AND(#REF!,"AAAAAD/Tu1Q=")</f>
        <v>#REF!</v>
      </c>
      <c r="CH9" s="66" t="str">
        <f>AND(#REF!,"AAAAAD/Tu1U=")</f>
        <v>#REF!</v>
      </c>
      <c r="CI9" s="66" t="str">
        <f>IF(#REF!,"AAAAAD/Tu1Y=",0)</f>
        <v>#REF!</v>
      </c>
      <c r="CJ9" s="66" t="str">
        <f>AND(#REF!,"AAAAAD/Tu1c=")</f>
        <v>#REF!</v>
      </c>
      <c r="CK9" s="66" t="str">
        <f>AND(#REF!,"AAAAAD/Tu1g=")</f>
        <v>#REF!</v>
      </c>
      <c r="CL9" s="66" t="str">
        <f>AND(#REF!,"AAAAAD/Tu1k=")</f>
        <v>#REF!</v>
      </c>
      <c r="CM9" s="66" t="str">
        <f>AND(#REF!,"AAAAAD/Tu1o=")</f>
        <v>#REF!</v>
      </c>
      <c r="CN9" s="66" t="str">
        <f>AND(#REF!,"AAAAAD/Tu1s=")</f>
        <v>#REF!</v>
      </c>
      <c r="CO9" s="66" t="str">
        <f>AND(#REF!,"AAAAAD/Tu1w=")</f>
        <v>#REF!</v>
      </c>
      <c r="CP9" s="66" t="str">
        <f>AND(#REF!,"AAAAAD/Tu10=")</f>
        <v>#REF!</v>
      </c>
      <c r="CQ9" s="66" t="str">
        <f>AND(#REF!,"AAAAAD/Tu14=")</f>
        <v>#REF!</v>
      </c>
      <c r="CR9" s="66" t="str">
        <f>AND(#REF!,"AAAAAD/Tu18=")</f>
        <v>#REF!</v>
      </c>
      <c r="CS9" s="66" t="str">
        <f>AND(#REF!,"AAAAAD/Tu2A=")</f>
        <v>#REF!</v>
      </c>
      <c r="CT9" s="66" t="str">
        <f>AND(#REF!,"AAAAAD/Tu2E=")</f>
        <v>#REF!</v>
      </c>
      <c r="CU9" s="66" t="str">
        <f>AND(#REF!,"AAAAAD/Tu2I=")</f>
        <v>#REF!</v>
      </c>
      <c r="CV9" s="66" t="str">
        <f>AND(#REF!,"AAAAAD/Tu2M=")</f>
        <v>#REF!</v>
      </c>
      <c r="CW9" s="66" t="str">
        <f>AND(#REF!,"AAAAAD/Tu2Q=")</f>
        <v>#REF!</v>
      </c>
      <c r="CX9" s="66" t="str">
        <f>AND(#REF!,"AAAAAD/Tu2U=")</f>
        <v>#REF!</v>
      </c>
      <c r="CY9" s="66" t="str">
        <f>AND(#REF!,"AAAAAD/Tu2Y=")</f>
        <v>#REF!</v>
      </c>
      <c r="CZ9" s="66" t="str">
        <f>AND(#REF!,"AAAAAD/Tu2c=")</f>
        <v>#REF!</v>
      </c>
      <c r="DA9" s="66" t="str">
        <f>AND(#REF!,"AAAAAD/Tu2g=")</f>
        <v>#REF!</v>
      </c>
      <c r="DB9" s="66" t="str">
        <f>AND(#REF!,"AAAAAD/Tu2k=")</f>
        <v>#REF!</v>
      </c>
      <c r="DC9" s="66" t="str">
        <f>AND(#REF!,"AAAAAD/Tu2o=")</f>
        <v>#REF!</v>
      </c>
      <c r="DD9" s="66" t="str">
        <f>AND(#REF!,"AAAAAD/Tu2s=")</f>
        <v>#REF!</v>
      </c>
      <c r="DE9" s="66" t="str">
        <f>AND(#REF!,"AAAAAD/Tu2w=")</f>
        <v>#REF!</v>
      </c>
      <c r="DF9" s="66" t="str">
        <f>AND(#REF!,"AAAAAD/Tu20=")</f>
        <v>#REF!</v>
      </c>
      <c r="DG9" s="66" t="str">
        <f>AND(#REF!,"AAAAAD/Tu24=")</f>
        <v>#REF!</v>
      </c>
      <c r="DH9" s="66" t="str">
        <f>AND(#REF!,"AAAAAD/Tu28=")</f>
        <v>#REF!</v>
      </c>
      <c r="DI9" s="66" t="str">
        <f>AND(#REF!,"AAAAAD/Tu3A=")</f>
        <v>#REF!</v>
      </c>
      <c r="DJ9" s="66" t="str">
        <f>AND(#REF!,"AAAAAD/Tu3E=")</f>
        <v>#REF!</v>
      </c>
      <c r="DK9" s="66" t="str">
        <f>AND(#REF!,"AAAAAD/Tu3I=")</f>
        <v>#REF!</v>
      </c>
      <c r="DL9" s="66" t="str">
        <f>AND(#REF!,"AAAAAD/Tu3M=")</f>
        <v>#REF!</v>
      </c>
      <c r="DM9" s="66" t="str">
        <f>AND(#REF!,"AAAAAD/Tu3Q=")</f>
        <v>#REF!</v>
      </c>
      <c r="DN9" s="66" t="str">
        <f>AND(#REF!,"AAAAAD/Tu3U=")</f>
        <v>#REF!</v>
      </c>
      <c r="DO9" s="66" t="str">
        <f>AND(#REF!,"AAAAAD/Tu3Y=")</f>
        <v>#REF!</v>
      </c>
      <c r="DP9" s="66" t="str">
        <f>AND(#REF!,"AAAAAD/Tu3c=")</f>
        <v>#REF!</v>
      </c>
      <c r="DQ9" s="66" t="str">
        <f>AND(#REF!,"AAAAAD/Tu3g=")</f>
        <v>#REF!</v>
      </c>
      <c r="DR9" s="66" t="str">
        <f>AND(#REF!,"AAAAAD/Tu3k=")</f>
        <v>#REF!</v>
      </c>
      <c r="DS9" s="66" t="str">
        <f>AND(#REF!,"AAAAAD/Tu3o=")</f>
        <v>#REF!</v>
      </c>
      <c r="DT9" s="66" t="str">
        <f>AND(#REF!,"AAAAAD/Tu3s=")</f>
        <v>#REF!</v>
      </c>
      <c r="DU9" s="66" t="str">
        <f>AND(#REF!,"AAAAAD/Tu3w=")</f>
        <v>#REF!</v>
      </c>
      <c r="DV9" s="66" t="str">
        <f>AND(#REF!,"AAAAAD/Tu30=")</f>
        <v>#REF!</v>
      </c>
      <c r="DW9" s="66" t="str">
        <f>AND(#REF!,"AAAAAD/Tu34=")</f>
        <v>#REF!</v>
      </c>
      <c r="DX9" s="66" t="str">
        <f>IF(#REF!,"AAAAAD/Tu38=",0)</f>
        <v>#REF!</v>
      </c>
      <c r="DY9" s="66" t="str">
        <f>AND(#REF!,"AAAAAD/Tu4A=")</f>
        <v>#REF!</v>
      </c>
      <c r="DZ9" s="66" t="str">
        <f>AND(#REF!,"AAAAAD/Tu4E=")</f>
        <v>#REF!</v>
      </c>
      <c r="EA9" s="66" t="str">
        <f>AND(#REF!,"AAAAAD/Tu4I=")</f>
        <v>#REF!</v>
      </c>
      <c r="EB9" s="66" t="str">
        <f>AND(#REF!,"AAAAAD/Tu4M=")</f>
        <v>#REF!</v>
      </c>
      <c r="EC9" s="66" t="str">
        <f>AND(#REF!,"AAAAAD/Tu4Q=")</f>
        <v>#REF!</v>
      </c>
      <c r="ED9" s="66" t="str">
        <f>AND(#REF!,"AAAAAD/Tu4U=")</f>
        <v>#REF!</v>
      </c>
      <c r="EE9" s="66" t="str">
        <f>AND(#REF!,"AAAAAD/Tu4Y=")</f>
        <v>#REF!</v>
      </c>
      <c r="EF9" s="66" t="str">
        <f>AND(#REF!,"AAAAAD/Tu4c=")</f>
        <v>#REF!</v>
      </c>
      <c r="EG9" s="66" t="str">
        <f>AND(#REF!,"AAAAAD/Tu4g=")</f>
        <v>#REF!</v>
      </c>
      <c r="EH9" s="66" t="str">
        <f>AND(#REF!,"AAAAAD/Tu4k=")</f>
        <v>#REF!</v>
      </c>
      <c r="EI9" s="66" t="str">
        <f>AND(#REF!,"AAAAAD/Tu4o=")</f>
        <v>#REF!</v>
      </c>
      <c r="EJ9" s="66" t="str">
        <f>AND(#REF!,"AAAAAD/Tu4s=")</f>
        <v>#REF!</v>
      </c>
      <c r="EK9" s="66" t="str">
        <f>AND(#REF!,"AAAAAD/Tu4w=")</f>
        <v>#REF!</v>
      </c>
      <c r="EL9" s="66" t="str">
        <f>AND(#REF!,"AAAAAD/Tu40=")</f>
        <v>#REF!</v>
      </c>
      <c r="EM9" s="66" t="str">
        <f>AND(#REF!,"AAAAAD/Tu44=")</f>
        <v>#REF!</v>
      </c>
      <c r="EN9" s="66" t="str">
        <f>AND(#REF!,"AAAAAD/Tu48=")</f>
        <v>#REF!</v>
      </c>
      <c r="EO9" s="66" t="str">
        <f>AND(#REF!,"AAAAAD/Tu5A=")</f>
        <v>#REF!</v>
      </c>
      <c r="EP9" s="66" t="str">
        <f>AND(#REF!,"AAAAAD/Tu5E=")</f>
        <v>#REF!</v>
      </c>
      <c r="EQ9" s="66" t="str">
        <f>AND(#REF!,"AAAAAD/Tu5I=")</f>
        <v>#REF!</v>
      </c>
      <c r="ER9" s="66" t="str">
        <f>AND(#REF!,"AAAAAD/Tu5M=")</f>
        <v>#REF!</v>
      </c>
      <c r="ES9" s="66" t="str">
        <f>AND(#REF!,"AAAAAD/Tu5Q=")</f>
        <v>#REF!</v>
      </c>
      <c r="ET9" s="66" t="str">
        <f>AND(#REF!,"AAAAAD/Tu5U=")</f>
        <v>#REF!</v>
      </c>
      <c r="EU9" s="66" t="str">
        <f>AND(#REF!,"AAAAAD/Tu5Y=")</f>
        <v>#REF!</v>
      </c>
      <c r="EV9" s="66" t="str">
        <f>AND(#REF!,"AAAAAD/Tu5c=")</f>
        <v>#REF!</v>
      </c>
      <c r="EW9" s="66" t="str">
        <f>AND(#REF!,"AAAAAD/Tu5g=")</f>
        <v>#REF!</v>
      </c>
      <c r="EX9" s="66" t="str">
        <f>AND(#REF!,"AAAAAD/Tu5k=")</f>
        <v>#REF!</v>
      </c>
      <c r="EY9" s="66" t="str">
        <f>AND(#REF!,"AAAAAD/Tu5o=")</f>
        <v>#REF!</v>
      </c>
      <c r="EZ9" s="66" t="str">
        <f>AND(#REF!,"AAAAAD/Tu5s=")</f>
        <v>#REF!</v>
      </c>
      <c r="FA9" s="66" t="str">
        <f>AND(#REF!,"AAAAAD/Tu5w=")</f>
        <v>#REF!</v>
      </c>
      <c r="FB9" s="66" t="str">
        <f>AND(#REF!,"AAAAAD/Tu50=")</f>
        <v>#REF!</v>
      </c>
      <c r="FC9" s="66" t="str">
        <f>AND(#REF!,"AAAAAD/Tu54=")</f>
        <v>#REF!</v>
      </c>
      <c r="FD9" s="66" t="str">
        <f>AND(#REF!,"AAAAAD/Tu58=")</f>
        <v>#REF!</v>
      </c>
      <c r="FE9" s="66" t="str">
        <f>AND(#REF!,"AAAAAD/Tu6A=")</f>
        <v>#REF!</v>
      </c>
      <c r="FF9" s="66" t="str">
        <f>AND(#REF!,"AAAAAD/Tu6E=")</f>
        <v>#REF!</v>
      </c>
      <c r="FG9" s="66" t="str">
        <f>AND(#REF!,"AAAAAD/Tu6I=")</f>
        <v>#REF!</v>
      </c>
      <c r="FH9" s="66" t="str">
        <f>AND(#REF!,"AAAAAD/Tu6M=")</f>
        <v>#REF!</v>
      </c>
      <c r="FI9" s="66" t="str">
        <f>AND(#REF!,"AAAAAD/Tu6Q=")</f>
        <v>#REF!</v>
      </c>
      <c r="FJ9" s="66" t="str">
        <f>AND(#REF!,"AAAAAD/Tu6U=")</f>
        <v>#REF!</v>
      </c>
      <c r="FK9" s="66" t="str">
        <f>AND(#REF!,"AAAAAD/Tu6Y=")</f>
        <v>#REF!</v>
      </c>
      <c r="FL9" s="66" t="str">
        <f>AND(#REF!,"AAAAAD/Tu6c=")</f>
        <v>#REF!</v>
      </c>
      <c r="FM9" s="66" t="str">
        <f>IF(#REF!,"AAAAAD/Tu6g=",0)</f>
        <v>#REF!</v>
      </c>
      <c r="FN9" s="66" t="str">
        <f>AND(#REF!,"AAAAAD/Tu6k=")</f>
        <v>#REF!</v>
      </c>
      <c r="FO9" s="66" t="str">
        <f>AND(#REF!,"AAAAAD/Tu6o=")</f>
        <v>#REF!</v>
      </c>
      <c r="FP9" s="66" t="str">
        <f>AND(#REF!,"AAAAAD/Tu6s=")</f>
        <v>#REF!</v>
      </c>
      <c r="FQ9" s="66" t="str">
        <f>AND(#REF!,"AAAAAD/Tu6w=")</f>
        <v>#REF!</v>
      </c>
      <c r="FR9" s="66" t="str">
        <f>AND(#REF!,"AAAAAD/Tu60=")</f>
        <v>#REF!</v>
      </c>
      <c r="FS9" s="66" t="str">
        <f>AND(#REF!,"AAAAAD/Tu64=")</f>
        <v>#REF!</v>
      </c>
      <c r="FT9" s="66" t="str">
        <f>AND(#REF!,"AAAAAD/Tu68=")</f>
        <v>#REF!</v>
      </c>
      <c r="FU9" s="66" t="str">
        <f>AND(#REF!,"AAAAAD/Tu7A=")</f>
        <v>#REF!</v>
      </c>
      <c r="FV9" s="66" t="str">
        <f>AND(#REF!,"AAAAAD/Tu7E=")</f>
        <v>#REF!</v>
      </c>
      <c r="FW9" s="66" t="str">
        <f>AND(#REF!,"AAAAAD/Tu7I=")</f>
        <v>#REF!</v>
      </c>
      <c r="FX9" s="66" t="str">
        <f>AND(#REF!,"AAAAAD/Tu7M=")</f>
        <v>#REF!</v>
      </c>
      <c r="FY9" s="66" t="str">
        <f>AND(#REF!,"AAAAAD/Tu7Q=")</f>
        <v>#REF!</v>
      </c>
      <c r="FZ9" s="66" t="str">
        <f>AND(#REF!,"AAAAAD/Tu7U=")</f>
        <v>#REF!</v>
      </c>
      <c r="GA9" s="66" t="str">
        <f>AND(#REF!,"AAAAAD/Tu7Y=")</f>
        <v>#REF!</v>
      </c>
      <c r="GB9" s="66" t="str">
        <f>AND(#REF!,"AAAAAD/Tu7c=")</f>
        <v>#REF!</v>
      </c>
      <c r="GC9" s="66" t="str">
        <f>AND(#REF!,"AAAAAD/Tu7g=")</f>
        <v>#REF!</v>
      </c>
      <c r="GD9" s="66" t="str">
        <f>AND(#REF!,"AAAAAD/Tu7k=")</f>
        <v>#REF!</v>
      </c>
      <c r="GE9" s="66" t="str">
        <f>AND(#REF!,"AAAAAD/Tu7o=")</f>
        <v>#REF!</v>
      </c>
      <c r="GF9" s="66" t="str">
        <f>AND(#REF!,"AAAAAD/Tu7s=")</f>
        <v>#REF!</v>
      </c>
      <c r="GG9" s="66" t="str">
        <f>AND(#REF!,"AAAAAD/Tu7w=")</f>
        <v>#REF!</v>
      </c>
      <c r="GH9" s="66" t="str">
        <f>AND(#REF!,"AAAAAD/Tu70=")</f>
        <v>#REF!</v>
      </c>
      <c r="GI9" s="66" t="str">
        <f>AND(#REF!,"AAAAAD/Tu74=")</f>
        <v>#REF!</v>
      </c>
      <c r="GJ9" s="66" t="str">
        <f>AND(#REF!,"AAAAAD/Tu78=")</f>
        <v>#REF!</v>
      </c>
      <c r="GK9" s="66" t="str">
        <f>AND(#REF!,"AAAAAD/Tu8A=")</f>
        <v>#REF!</v>
      </c>
      <c r="GL9" s="66" t="str">
        <f>AND(#REF!,"AAAAAD/Tu8E=")</f>
        <v>#REF!</v>
      </c>
      <c r="GM9" s="66" t="str">
        <f>AND(#REF!,"AAAAAD/Tu8I=")</f>
        <v>#REF!</v>
      </c>
      <c r="GN9" s="66" t="str">
        <f>AND(#REF!,"AAAAAD/Tu8M=")</f>
        <v>#REF!</v>
      </c>
      <c r="GO9" s="66" t="str">
        <f>AND(#REF!,"AAAAAD/Tu8Q=")</f>
        <v>#REF!</v>
      </c>
      <c r="GP9" s="66" t="str">
        <f>AND(#REF!,"AAAAAD/Tu8U=")</f>
        <v>#REF!</v>
      </c>
      <c r="GQ9" s="66" t="str">
        <f>AND(#REF!,"AAAAAD/Tu8Y=")</f>
        <v>#REF!</v>
      </c>
      <c r="GR9" s="66" t="str">
        <f>AND(#REF!,"AAAAAD/Tu8c=")</f>
        <v>#REF!</v>
      </c>
      <c r="GS9" s="66" t="str">
        <f>AND(#REF!,"AAAAAD/Tu8g=")</f>
        <v>#REF!</v>
      </c>
      <c r="GT9" s="66" t="str">
        <f>AND(#REF!,"AAAAAD/Tu8k=")</f>
        <v>#REF!</v>
      </c>
      <c r="GU9" s="66" t="str">
        <f>AND(#REF!,"AAAAAD/Tu8o=")</f>
        <v>#REF!</v>
      </c>
      <c r="GV9" s="66" t="str">
        <f>AND(#REF!,"AAAAAD/Tu8s=")</f>
        <v>#REF!</v>
      </c>
      <c r="GW9" s="66" t="str">
        <f>AND(#REF!,"AAAAAD/Tu8w=")</f>
        <v>#REF!</v>
      </c>
      <c r="GX9" s="66" t="str">
        <f>AND(#REF!,"AAAAAD/Tu80=")</f>
        <v>#REF!</v>
      </c>
      <c r="GY9" s="66" t="str">
        <f>AND(#REF!,"AAAAAD/Tu84=")</f>
        <v>#REF!</v>
      </c>
      <c r="GZ9" s="66" t="str">
        <f>AND(#REF!,"AAAAAD/Tu88=")</f>
        <v>#REF!</v>
      </c>
      <c r="HA9" s="66" t="str">
        <f>AND(#REF!,"AAAAAD/Tu9A=")</f>
        <v>#REF!</v>
      </c>
      <c r="HB9" s="66" t="str">
        <f>IF(#REF!,"AAAAAD/Tu9E=",0)</f>
        <v>#REF!</v>
      </c>
      <c r="HC9" s="66" t="str">
        <f>AND(#REF!,"AAAAAD/Tu9I=")</f>
        <v>#REF!</v>
      </c>
      <c r="HD9" s="66" t="str">
        <f>AND(#REF!,"AAAAAD/Tu9M=")</f>
        <v>#REF!</v>
      </c>
      <c r="HE9" s="66" t="str">
        <f>AND(#REF!,"AAAAAD/Tu9Q=")</f>
        <v>#REF!</v>
      </c>
      <c r="HF9" s="66" t="str">
        <f>AND(#REF!,"AAAAAD/Tu9U=")</f>
        <v>#REF!</v>
      </c>
      <c r="HG9" s="66" t="str">
        <f>AND(#REF!,"AAAAAD/Tu9Y=")</f>
        <v>#REF!</v>
      </c>
      <c r="HH9" s="66" t="str">
        <f>AND(#REF!,"AAAAAD/Tu9c=")</f>
        <v>#REF!</v>
      </c>
      <c r="HI9" s="66" t="str">
        <f>AND(#REF!,"AAAAAD/Tu9g=")</f>
        <v>#REF!</v>
      </c>
      <c r="HJ9" s="66" t="str">
        <f>AND(#REF!,"AAAAAD/Tu9k=")</f>
        <v>#REF!</v>
      </c>
      <c r="HK9" s="66" t="str">
        <f>AND(#REF!,"AAAAAD/Tu9o=")</f>
        <v>#REF!</v>
      </c>
      <c r="HL9" s="66" t="str">
        <f>AND(#REF!,"AAAAAD/Tu9s=")</f>
        <v>#REF!</v>
      </c>
      <c r="HM9" s="66" t="str">
        <f>AND(#REF!,"AAAAAD/Tu9w=")</f>
        <v>#REF!</v>
      </c>
      <c r="HN9" s="66" t="str">
        <f>AND(#REF!,"AAAAAD/Tu90=")</f>
        <v>#REF!</v>
      </c>
      <c r="HO9" s="66" t="str">
        <f>AND(#REF!,"AAAAAD/Tu94=")</f>
        <v>#REF!</v>
      </c>
      <c r="HP9" s="66" t="str">
        <f>AND(#REF!,"AAAAAD/Tu98=")</f>
        <v>#REF!</v>
      </c>
      <c r="HQ9" s="66" t="str">
        <f>AND(#REF!,"AAAAAD/Tu+A=")</f>
        <v>#REF!</v>
      </c>
      <c r="HR9" s="66" t="str">
        <f>AND(#REF!,"AAAAAD/Tu+E=")</f>
        <v>#REF!</v>
      </c>
      <c r="HS9" s="66" t="str">
        <f>AND(#REF!,"AAAAAD/Tu+I=")</f>
        <v>#REF!</v>
      </c>
      <c r="HT9" s="66" t="str">
        <f>AND(#REF!,"AAAAAD/Tu+M=")</f>
        <v>#REF!</v>
      </c>
      <c r="HU9" s="66" t="str">
        <f>AND(#REF!,"AAAAAD/Tu+Q=")</f>
        <v>#REF!</v>
      </c>
      <c r="HV9" s="66" t="str">
        <f>AND(#REF!,"AAAAAD/Tu+U=")</f>
        <v>#REF!</v>
      </c>
      <c r="HW9" s="66" t="str">
        <f>AND(#REF!,"AAAAAD/Tu+Y=")</f>
        <v>#REF!</v>
      </c>
      <c r="HX9" s="66" t="str">
        <f>AND(#REF!,"AAAAAD/Tu+c=")</f>
        <v>#REF!</v>
      </c>
      <c r="HY9" s="66" t="str">
        <f>AND(#REF!,"AAAAAD/Tu+g=")</f>
        <v>#REF!</v>
      </c>
      <c r="HZ9" s="66" t="str">
        <f>AND(#REF!,"AAAAAD/Tu+k=")</f>
        <v>#REF!</v>
      </c>
      <c r="IA9" s="66" t="str">
        <f>AND(#REF!,"AAAAAD/Tu+o=")</f>
        <v>#REF!</v>
      </c>
      <c r="IB9" s="66" t="str">
        <f>AND(#REF!,"AAAAAD/Tu+s=")</f>
        <v>#REF!</v>
      </c>
      <c r="IC9" s="66" t="str">
        <f>AND(#REF!,"AAAAAD/Tu+w=")</f>
        <v>#REF!</v>
      </c>
      <c r="ID9" s="66" t="str">
        <f>AND(#REF!,"AAAAAD/Tu+0=")</f>
        <v>#REF!</v>
      </c>
      <c r="IE9" s="66" t="str">
        <f>AND(#REF!,"AAAAAD/Tu+4=")</f>
        <v>#REF!</v>
      </c>
      <c r="IF9" s="66" t="str">
        <f>AND(#REF!,"AAAAAD/Tu+8=")</f>
        <v>#REF!</v>
      </c>
      <c r="IG9" s="66" t="str">
        <f>AND(#REF!,"AAAAAD/Tu/A=")</f>
        <v>#REF!</v>
      </c>
      <c r="IH9" s="66" t="str">
        <f>AND(#REF!,"AAAAAD/Tu/E=")</f>
        <v>#REF!</v>
      </c>
      <c r="II9" s="66" t="str">
        <f>AND(#REF!,"AAAAAD/Tu/I=")</f>
        <v>#REF!</v>
      </c>
      <c r="IJ9" s="66" t="str">
        <f>AND(#REF!,"AAAAAD/Tu/M=")</f>
        <v>#REF!</v>
      </c>
      <c r="IK9" s="66" t="str">
        <f>AND(#REF!,"AAAAAD/Tu/Q=")</f>
        <v>#REF!</v>
      </c>
      <c r="IL9" s="66" t="str">
        <f>AND(#REF!,"AAAAAD/Tu/U=")</f>
        <v>#REF!</v>
      </c>
      <c r="IM9" s="66" t="str">
        <f>AND(#REF!,"AAAAAD/Tu/Y=")</f>
        <v>#REF!</v>
      </c>
      <c r="IN9" s="66" t="str">
        <f>AND(#REF!,"AAAAAD/Tu/c=")</f>
        <v>#REF!</v>
      </c>
      <c r="IO9" s="66" t="str">
        <f>AND(#REF!,"AAAAAD/Tu/g=")</f>
        <v>#REF!</v>
      </c>
      <c r="IP9" s="66" t="str">
        <f>AND(#REF!,"AAAAAD/Tu/k=")</f>
        <v>#REF!</v>
      </c>
      <c r="IQ9" s="66" t="str">
        <f>IF(#REF!,"AAAAAD/Tu/o=",0)</f>
        <v>#REF!</v>
      </c>
      <c r="IR9" s="66" t="str">
        <f>AND(#REF!,"AAAAAD/Tu/s=")</f>
        <v>#REF!</v>
      </c>
      <c r="IS9" s="66" t="str">
        <f>AND(#REF!,"AAAAAD/Tu/w=")</f>
        <v>#REF!</v>
      </c>
      <c r="IT9" s="66" t="str">
        <f>AND(#REF!,"AAAAAD/Tu/0=")</f>
        <v>#REF!</v>
      </c>
      <c r="IU9" s="66" t="str">
        <f>AND(#REF!,"AAAAAD/Tu/4=")</f>
        <v>#REF!</v>
      </c>
      <c r="IV9" s="66" t="str">
        <f>AND(#REF!,"AAAAAD/Tu/8=")</f>
        <v>#REF!</v>
      </c>
    </row>
    <row r="10" ht="12.75" customHeight="1">
      <c r="A10" s="66" t="str">
        <f>AND(#REF!,"AAAAAF//ZwA=")</f>
        <v>#REF!</v>
      </c>
      <c r="B10" s="66" t="str">
        <f>AND(#REF!,"AAAAAF//ZwE=")</f>
        <v>#REF!</v>
      </c>
      <c r="C10" s="66" t="str">
        <f>AND(#REF!,"AAAAAF//ZwI=")</f>
        <v>#REF!</v>
      </c>
      <c r="D10" s="66" t="str">
        <f>AND(#REF!,"AAAAAF//ZwM=")</f>
        <v>#REF!</v>
      </c>
      <c r="E10" s="66" t="str">
        <f>AND(#REF!,"AAAAAF//ZwQ=")</f>
        <v>#REF!</v>
      </c>
      <c r="F10" s="66" t="str">
        <f>AND(#REF!,"AAAAAF//ZwU=")</f>
        <v>#REF!</v>
      </c>
      <c r="G10" s="66" t="str">
        <f>AND(#REF!,"AAAAAF//ZwY=")</f>
        <v>#REF!</v>
      </c>
      <c r="H10" s="66" t="str">
        <f>AND(#REF!,"AAAAAF//Zwc=")</f>
        <v>#REF!</v>
      </c>
      <c r="I10" s="66" t="str">
        <f>AND(#REF!,"AAAAAF//Zwg=")</f>
        <v>#REF!</v>
      </c>
      <c r="J10" s="66" t="str">
        <f>AND(#REF!,"AAAAAF//Zwk=")</f>
        <v>#REF!</v>
      </c>
      <c r="K10" s="66" t="str">
        <f>AND(#REF!,"AAAAAF//Zwo=")</f>
        <v>#REF!</v>
      </c>
      <c r="L10" s="66" t="str">
        <f>AND(#REF!,"AAAAAF//Zws=")</f>
        <v>#REF!</v>
      </c>
      <c r="M10" s="66" t="str">
        <f>AND(#REF!,"AAAAAF//Zww=")</f>
        <v>#REF!</v>
      </c>
      <c r="N10" s="66" t="str">
        <f>AND(#REF!,"AAAAAF//Zw0=")</f>
        <v>#REF!</v>
      </c>
      <c r="O10" s="66" t="str">
        <f>AND(#REF!,"AAAAAF//Zw4=")</f>
        <v>#REF!</v>
      </c>
      <c r="P10" s="66" t="str">
        <f>AND(#REF!,"AAAAAF//Zw8=")</f>
        <v>#REF!</v>
      </c>
      <c r="Q10" s="66" t="str">
        <f>AND(#REF!,"AAAAAF//ZxA=")</f>
        <v>#REF!</v>
      </c>
      <c r="R10" s="66" t="str">
        <f>AND(#REF!,"AAAAAF//ZxE=")</f>
        <v>#REF!</v>
      </c>
      <c r="S10" s="66" t="str">
        <f>AND(#REF!,"AAAAAF//ZxI=")</f>
        <v>#REF!</v>
      </c>
      <c r="T10" s="66" t="str">
        <f>AND(#REF!,"AAAAAF//ZxM=")</f>
        <v>#REF!</v>
      </c>
      <c r="U10" s="66" t="str">
        <f>AND(#REF!,"AAAAAF//ZxQ=")</f>
        <v>#REF!</v>
      </c>
      <c r="V10" s="66" t="str">
        <f>AND(#REF!,"AAAAAF//ZxU=")</f>
        <v>#REF!</v>
      </c>
      <c r="W10" s="66" t="str">
        <f>AND(#REF!,"AAAAAF//ZxY=")</f>
        <v>#REF!</v>
      </c>
      <c r="X10" s="66" t="str">
        <f>AND(#REF!,"AAAAAF//Zxc=")</f>
        <v>#REF!</v>
      </c>
      <c r="Y10" s="66" t="str">
        <f>AND(#REF!,"AAAAAF//Zxg=")</f>
        <v>#REF!</v>
      </c>
      <c r="Z10" s="66" t="str">
        <f>AND(#REF!,"AAAAAF//Zxk=")</f>
        <v>#REF!</v>
      </c>
      <c r="AA10" s="66" t="str">
        <f>AND(#REF!,"AAAAAF//Zxo=")</f>
        <v>#REF!</v>
      </c>
      <c r="AB10" s="66" t="str">
        <f>AND(#REF!,"AAAAAF//Zxs=")</f>
        <v>#REF!</v>
      </c>
      <c r="AC10" s="66" t="str">
        <f>AND(#REF!,"AAAAAF//Zxw=")</f>
        <v>#REF!</v>
      </c>
      <c r="AD10" s="66" t="str">
        <f>AND(#REF!,"AAAAAF//Zx0=")</f>
        <v>#REF!</v>
      </c>
      <c r="AE10" s="66" t="str">
        <f>AND(#REF!,"AAAAAF//Zx4=")</f>
        <v>#REF!</v>
      </c>
      <c r="AF10" s="66" t="str">
        <f>AND(#REF!,"AAAAAF//Zx8=")</f>
        <v>#REF!</v>
      </c>
      <c r="AG10" s="66" t="str">
        <f>AND(#REF!,"AAAAAF//ZyA=")</f>
        <v>#REF!</v>
      </c>
      <c r="AH10" s="66" t="str">
        <f>AND(#REF!,"AAAAAF//ZyE=")</f>
        <v>#REF!</v>
      </c>
      <c r="AI10" s="66" t="str">
        <f>AND(#REF!,"AAAAAF//ZyI=")</f>
        <v>#REF!</v>
      </c>
      <c r="AJ10" s="66" t="str">
        <f>IF(#REF!,"AAAAAF//ZyM=",0)</f>
        <v>#REF!</v>
      </c>
      <c r="AK10" s="66" t="str">
        <f>AND(#REF!,"AAAAAF//ZyQ=")</f>
        <v>#REF!</v>
      </c>
      <c r="AL10" s="66" t="str">
        <f>AND(#REF!,"AAAAAF//ZyU=")</f>
        <v>#REF!</v>
      </c>
      <c r="AM10" s="66" t="str">
        <f>AND(#REF!,"AAAAAF//ZyY=")</f>
        <v>#REF!</v>
      </c>
      <c r="AN10" s="66" t="str">
        <f>AND(#REF!,"AAAAAF//Zyc=")</f>
        <v>#REF!</v>
      </c>
      <c r="AO10" s="66" t="str">
        <f>AND(#REF!,"AAAAAF//Zyg=")</f>
        <v>#REF!</v>
      </c>
      <c r="AP10" s="66" t="str">
        <f>AND(#REF!,"AAAAAF//Zyk=")</f>
        <v>#REF!</v>
      </c>
      <c r="AQ10" s="66" t="str">
        <f>AND(#REF!,"AAAAAF//Zyo=")</f>
        <v>#REF!</v>
      </c>
      <c r="AR10" s="66" t="str">
        <f>AND(#REF!,"AAAAAF//Zys=")</f>
        <v>#REF!</v>
      </c>
      <c r="AS10" s="66" t="str">
        <f>AND(#REF!,"AAAAAF//Zyw=")</f>
        <v>#REF!</v>
      </c>
      <c r="AT10" s="66" t="str">
        <f>AND(#REF!,"AAAAAF//Zy0=")</f>
        <v>#REF!</v>
      </c>
      <c r="AU10" s="66" t="str">
        <f>AND(#REF!,"AAAAAF//Zy4=")</f>
        <v>#REF!</v>
      </c>
      <c r="AV10" s="66" t="str">
        <f>AND(#REF!,"AAAAAF//Zy8=")</f>
        <v>#REF!</v>
      </c>
      <c r="AW10" s="66" t="str">
        <f>AND(#REF!,"AAAAAF//ZzA=")</f>
        <v>#REF!</v>
      </c>
      <c r="AX10" s="66" t="str">
        <f>AND(#REF!,"AAAAAF//ZzE=")</f>
        <v>#REF!</v>
      </c>
      <c r="AY10" s="66" t="str">
        <f>AND(#REF!,"AAAAAF//ZzI=")</f>
        <v>#REF!</v>
      </c>
      <c r="AZ10" s="66" t="str">
        <f>AND(#REF!,"AAAAAF//ZzM=")</f>
        <v>#REF!</v>
      </c>
      <c r="BA10" s="66" t="str">
        <f>AND(#REF!,"AAAAAF//ZzQ=")</f>
        <v>#REF!</v>
      </c>
      <c r="BB10" s="66" t="str">
        <f>AND(#REF!,"AAAAAF//ZzU=")</f>
        <v>#REF!</v>
      </c>
      <c r="BC10" s="66" t="str">
        <f>AND(#REF!,"AAAAAF//ZzY=")</f>
        <v>#REF!</v>
      </c>
      <c r="BD10" s="66" t="str">
        <f>AND(#REF!,"AAAAAF//Zzc=")</f>
        <v>#REF!</v>
      </c>
      <c r="BE10" s="66" t="str">
        <f>AND(#REF!,"AAAAAF//Zzg=")</f>
        <v>#REF!</v>
      </c>
      <c r="BF10" s="66" t="str">
        <f>AND(#REF!,"AAAAAF//Zzk=")</f>
        <v>#REF!</v>
      </c>
      <c r="BG10" s="66" t="str">
        <f>AND(#REF!,"AAAAAF//Zzo=")</f>
        <v>#REF!</v>
      </c>
      <c r="BH10" s="66" t="str">
        <f>AND(#REF!,"AAAAAF//Zzs=")</f>
        <v>#REF!</v>
      </c>
      <c r="BI10" s="66" t="str">
        <f>AND(#REF!,"AAAAAF//Zzw=")</f>
        <v>#REF!</v>
      </c>
      <c r="BJ10" s="66" t="str">
        <f>AND(#REF!,"AAAAAF//Zz0=")</f>
        <v>#REF!</v>
      </c>
      <c r="BK10" s="66" t="str">
        <f>AND(#REF!,"AAAAAF//Zz4=")</f>
        <v>#REF!</v>
      </c>
      <c r="BL10" s="66" t="str">
        <f>AND(#REF!,"AAAAAF//Zz8=")</f>
        <v>#REF!</v>
      </c>
      <c r="BM10" s="66" t="str">
        <f>AND(#REF!,"AAAAAF//Z0A=")</f>
        <v>#REF!</v>
      </c>
      <c r="BN10" s="66" t="str">
        <f>AND(#REF!,"AAAAAF//Z0E=")</f>
        <v>#REF!</v>
      </c>
      <c r="BO10" s="66" t="str">
        <f>AND(#REF!,"AAAAAF//Z0I=")</f>
        <v>#REF!</v>
      </c>
      <c r="BP10" s="66" t="str">
        <f>AND(#REF!,"AAAAAF//Z0M=")</f>
        <v>#REF!</v>
      </c>
      <c r="BQ10" s="66" t="str">
        <f>AND(#REF!,"AAAAAF//Z0Q=")</f>
        <v>#REF!</v>
      </c>
      <c r="BR10" s="66" t="str">
        <f>AND(#REF!,"AAAAAF//Z0U=")</f>
        <v>#REF!</v>
      </c>
      <c r="BS10" s="66" t="str">
        <f>AND(#REF!,"AAAAAF//Z0Y=")</f>
        <v>#REF!</v>
      </c>
      <c r="BT10" s="66" t="str">
        <f>AND(#REF!,"AAAAAF//Z0c=")</f>
        <v>#REF!</v>
      </c>
      <c r="BU10" s="66" t="str">
        <f>AND(#REF!,"AAAAAF//Z0g=")</f>
        <v>#REF!</v>
      </c>
      <c r="BV10" s="66" t="str">
        <f>AND(#REF!,"AAAAAF//Z0k=")</f>
        <v>#REF!</v>
      </c>
      <c r="BW10" s="66" t="str">
        <f>AND(#REF!,"AAAAAF//Z0o=")</f>
        <v>#REF!</v>
      </c>
      <c r="BX10" s="66" t="str">
        <f>AND(#REF!,"AAAAAF//Z0s=")</f>
        <v>#REF!</v>
      </c>
      <c r="BY10" s="66" t="str">
        <f>IF(#REF!,"AAAAAF//Z0w=",0)</f>
        <v>#REF!</v>
      </c>
      <c r="BZ10" s="66" t="str">
        <f>AND(#REF!,"AAAAAF//Z00=")</f>
        <v>#REF!</v>
      </c>
      <c r="CA10" s="66" t="str">
        <f>AND(#REF!,"AAAAAF//Z04=")</f>
        <v>#REF!</v>
      </c>
      <c r="CB10" s="66" t="str">
        <f>AND(#REF!,"AAAAAF//Z08=")</f>
        <v>#REF!</v>
      </c>
      <c r="CC10" s="66" t="str">
        <f>AND(#REF!,"AAAAAF//Z1A=")</f>
        <v>#REF!</v>
      </c>
      <c r="CD10" s="66" t="str">
        <f>AND(#REF!,"AAAAAF//Z1E=")</f>
        <v>#REF!</v>
      </c>
      <c r="CE10" s="66" t="str">
        <f>AND(#REF!,"AAAAAF//Z1I=")</f>
        <v>#REF!</v>
      </c>
      <c r="CF10" s="66" t="str">
        <f>AND(#REF!,"AAAAAF//Z1M=")</f>
        <v>#REF!</v>
      </c>
      <c r="CG10" s="66" t="str">
        <f>AND(#REF!,"AAAAAF//Z1Q=")</f>
        <v>#REF!</v>
      </c>
      <c r="CH10" s="66" t="str">
        <f>AND(#REF!,"AAAAAF//Z1U=")</f>
        <v>#REF!</v>
      </c>
      <c r="CI10" s="66" t="str">
        <f>AND(#REF!,"AAAAAF//Z1Y=")</f>
        <v>#REF!</v>
      </c>
      <c r="CJ10" s="66" t="str">
        <f>AND(#REF!,"AAAAAF//Z1c=")</f>
        <v>#REF!</v>
      </c>
      <c r="CK10" s="66" t="str">
        <f>AND(#REF!,"AAAAAF//Z1g=")</f>
        <v>#REF!</v>
      </c>
      <c r="CL10" s="66" t="str">
        <f>AND(#REF!,"AAAAAF//Z1k=")</f>
        <v>#REF!</v>
      </c>
      <c r="CM10" s="66" t="str">
        <f>AND(#REF!,"AAAAAF//Z1o=")</f>
        <v>#REF!</v>
      </c>
      <c r="CN10" s="66" t="str">
        <f>AND(#REF!,"AAAAAF//Z1s=")</f>
        <v>#REF!</v>
      </c>
      <c r="CO10" s="66" t="str">
        <f>AND(#REF!,"AAAAAF//Z1w=")</f>
        <v>#REF!</v>
      </c>
      <c r="CP10" s="66" t="str">
        <f>AND(#REF!,"AAAAAF//Z10=")</f>
        <v>#REF!</v>
      </c>
      <c r="CQ10" s="66" t="str">
        <f>AND(#REF!,"AAAAAF//Z14=")</f>
        <v>#REF!</v>
      </c>
      <c r="CR10" s="66" t="str">
        <f>AND(#REF!,"AAAAAF//Z18=")</f>
        <v>#REF!</v>
      </c>
      <c r="CS10" s="66" t="str">
        <f>AND(#REF!,"AAAAAF//Z2A=")</f>
        <v>#REF!</v>
      </c>
      <c r="CT10" s="66" t="str">
        <f>AND(#REF!,"AAAAAF//Z2E=")</f>
        <v>#REF!</v>
      </c>
      <c r="CU10" s="66" t="str">
        <f>AND(#REF!,"AAAAAF//Z2I=")</f>
        <v>#REF!</v>
      </c>
      <c r="CV10" s="66" t="str">
        <f>AND(#REF!,"AAAAAF//Z2M=")</f>
        <v>#REF!</v>
      </c>
      <c r="CW10" s="66" t="str">
        <f>AND(#REF!,"AAAAAF//Z2Q=")</f>
        <v>#REF!</v>
      </c>
      <c r="CX10" s="66" t="str">
        <f>AND(#REF!,"AAAAAF//Z2U=")</f>
        <v>#REF!</v>
      </c>
      <c r="CY10" s="66" t="str">
        <f>AND(#REF!,"AAAAAF//Z2Y=")</f>
        <v>#REF!</v>
      </c>
      <c r="CZ10" s="66" t="str">
        <f>AND(#REF!,"AAAAAF//Z2c=")</f>
        <v>#REF!</v>
      </c>
      <c r="DA10" s="66" t="str">
        <f>AND(#REF!,"AAAAAF//Z2g=")</f>
        <v>#REF!</v>
      </c>
      <c r="DB10" s="66" t="str">
        <f>AND(#REF!,"AAAAAF//Z2k=")</f>
        <v>#REF!</v>
      </c>
      <c r="DC10" s="66" t="str">
        <f>AND(#REF!,"AAAAAF//Z2o=")</f>
        <v>#REF!</v>
      </c>
      <c r="DD10" s="66" t="str">
        <f>AND(#REF!,"AAAAAF//Z2s=")</f>
        <v>#REF!</v>
      </c>
      <c r="DE10" s="66" t="str">
        <f>AND(#REF!,"AAAAAF//Z2w=")</f>
        <v>#REF!</v>
      </c>
      <c r="DF10" s="66" t="str">
        <f>AND(#REF!,"AAAAAF//Z20=")</f>
        <v>#REF!</v>
      </c>
      <c r="DG10" s="66" t="str">
        <f>AND(#REF!,"AAAAAF//Z24=")</f>
        <v>#REF!</v>
      </c>
      <c r="DH10" s="66" t="str">
        <f>AND(#REF!,"AAAAAF//Z28=")</f>
        <v>#REF!</v>
      </c>
      <c r="DI10" s="66" t="str">
        <f>AND(#REF!,"AAAAAF//Z3A=")</f>
        <v>#REF!</v>
      </c>
      <c r="DJ10" s="66" t="str">
        <f>AND(#REF!,"AAAAAF//Z3E=")</f>
        <v>#REF!</v>
      </c>
      <c r="DK10" s="66" t="str">
        <f>AND(#REF!,"AAAAAF//Z3I=")</f>
        <v>#REF!</v>
      </c>
      <c r="DL10" s="66" t="str">
        <f>AND(#REF!,"AAAAAF//Z3M=")</f>
        <v>#REF!</v>
      </c>
      <c r="DM10" s="66" t="str">
        <f>AND(#REF!,"AAAAAF//Z3Q=")</f>
        <v>#REF!</v>
      </c>
      <c r="DN10" s="66" t="str">
        <f>IF(#REF!,"AAAAAF//Z3U=",0)</f>
        <v>#REF!</v>
      </c>
      <c r="DO10" s="66" t="str">
        <f>AND(#REF!,"AAAAAF//Z3Y=")</f>
        <v>#REF!</v>
      </c>
      <c r="DP10" s="66" t="str">
        <f>AND(#REF!,"AAAAAF//Z3c=")</f>
        <v>#REF!</v>
      </c>
      <c r="DQ10" s="66" t="str">
        <f>AND(#REF!,"AAAAAF//Z3g=")</f>
        <v>#REF!</v>
      </c>
      <c r="DR10" s="66" t="str">
        <f>AND(#REF!,"AAAAAF//Z3k=")</f>
        <v>#REF!</v>
      </c>
      <c r="DS10" s="66" t="str">
        <f>AND(#REF!,"AAAAAF//Z3o=")</f>
        <v>#REF!</v>
      </c>
      <c r="DT10" s="66" t="str">
        <f>AND(#REF!,"AAAAAF//Z3s=")</f>
        <v>#REF!</v>
      </c>
      <c r="DU10" s="66" t="str">
        <f>AND(#REF!,"AAAAAF//Z3w=")</f>
        <v>#REF!</v>
      </c>
      <c r="DV10" s="66" t="str">
        <f>AND(#REF!,"AAAAAF//Z30=")</f>
        <v>#REF!</v>
      </c>
      <c r="DW10" s="66" t="str">
        <f>AND(#REF!,"AAAAAF//Z34=")</f>
        <v>#REF!</v>
      </c>
      <c r="DX10" s="66" t="str">
        <f>AND(#REF!,"AAAAAF//Z38=")</f>
        <v>#REF!</v>
      </c>
      <c r="DY10" s="66" t="str">
        <f>AND(#REF!,"AAAAAF//Z4A=")</f>
        <v>#REF!</v>
      </c>
      <c r="DZ10" s="66" t="str">
        <f>AND(#REF!,"AAAAAF//Z4E=")</f>
        <v>#REF!</v>
      </c>
      <c r="EA10" s="66" t="str">
        <f>AND(#REF!,"AAAAAF//Z4I=")</f>
        <v>#REF!</v>
      </c>
      <c r="EB10" s="66" t="str">
        <f>AND(#REF!,"AAAAAF//Z4M=")</f>
        <v>#REF!</v>
      </c>
      <c r="EC10" s="66" t="str">
        <f>AND(#REF!,"AAAAAF//Z4Q=")</f>
        <v>#REF!</v>
      </c>
      <c r="ED10" s="66" t="str">
        <f>AND(#REF!,"AAAAAF//Z4U=")</f>
        <v>#REF!</v>
      </c>
      <c r="EE10" s="66" t="str">
        <f>AND(#REF!,"AAAAAF//Z4Y=")</f>
        <v>#REF!</v>
      </c>
      <c r="EF10" s="66" t="str">
        <f>AND(#REF!,"AAAAAF//Z4c=")</f>
        <v>#REF!</v>
      </c>
      <c r="EG10" s="66" t="str">
        <f>AND(#REF!,"AAAAAF//Z4g=")</f>
        <v>#REF!</v>
      </c>
      <c r="EH10" s="66" t="str">
        <f>AND(#REF!,"AAAAAF//Z4k=")</f>
        <v>#REF!</v>
      </c>
      <c r="EI10" s="66" t="str">
        <f>AND(#REF!,"AAAAAF//Z4o=")</f>
        <v>#REF!</v>
      </c>
      <c r="EJ10" s="66" t="str">
        <f>AND(#REF!,"AAAAAF//Z4s=")</f>
        <v>#REF!</v>
      </c>
      <c r="EK10" s="66" t="str">
        <f>AND(#REF!,"AAAAAF//Z4w=")</f>
        <v>#REF!</v>
      </c>
      <c r="EL10" s="66" t="str">
        <f>AND(#REF!,"AAAAAF//Z40=")</f>
        <v>#REF!</v>
      </c>
      <c r="EM10" s="66" t="str">
        <f>AND(#REF!,"AAAAAF//Z44=")</f>
        <v>#REF!</v>
      </c>
      <c r="EN10" s="66" t="str">
        <f>AND(#REF!,"AAAAAF//Z48=")</f>
        <v>#REF!</v>
      </c>
      <c r="EO10" s="66" t="str">
        <f>AND(#REF!,"AAAAAF//Z5A=")</f>
        <v>#REF!</v>
      </c>
      <c r="EP10" s="66" t="str">
        <f>AND(#REF!,"AAAAAF//Z5E=")</f>
        <v>#REF!</v>
      </c>
      <c r="EQ10" s="66" t="str">
        <f>AND(#REF!,"AAAAAF//Z5I=")</f>
        <v>#REF!</v>
      </c>
      <c r="ER10" s="66" t="str">
        <f>AND(#REF!,"AAAAAF//Z5M=")</f>
        <v>#REF!</v>
      </c>
      <c r="ES10" s="66" t="str">
        <f>AND(#REF!,"AAAAAF//Z5Q=")</f>
        <v>#REF!</v>
      </c>
      <c r="ET10" s="66" t="str">
        <f>AND(#REF!,"AAAAAF//Z5U=")</f>
        <v>#REF!</v>
      </c>
      <c r="EU10" s="66" t="str">
        <f>AND(#REF!,"AAAAAF//Z5Y=")</f>
        <v>#REF!</v>
      </c>
      <c r="EV10" s="66" t="str">
        <f>AND(#REF!,"AAAAAF//Z5c=")</f>
        <v>#REF!</v>
      </c>
      <c r="EW10" s="66" t="str">
        <f>AND(#REF!,"AAAAAF//Z5g=")</f>
        <v>#REF!</v>
      </c>
      <c r="EX10" s="66" t="str">
        <f>AND(#REF!,"AAAAAF//Z5k=")</f>
        <v>#REF!</v>
      </c>
      <c r="EY10" s="66" t="str">
        <f>AND(#REF!,"AAAAAF//Z5o=")</f>
        <v>#REF!</v>
      </c>
      <c r="EZ10" s="66" t="str">
        <f>AND(#REF!,"AAAAAF//Z5s=")</f>
        <v>#REF!</v>
      </c>
      <c r="FA10" s="66" t="str">
        <f>AND(#REF!,"AAAAAF//Z5w=")</f>
        <v>#REF!</v>
      </c>
      <c r="FB10" s="66" t="str">
        <f>AND(#REF!,"AAAAAF//Z50=")</f>
        <v>#REF!</v>
      </c>
      <c r="FC10" s="66" t="str">
        <f>IF(#REF!,"AAAAAF//Z54=",0)</f>
        <v>#REF!</v>
      </c>
      <c r="FD10" s="66" t="str">
        <f>AND(#REF!,"AAAAAF//Z58=")</f>
        <v>#REF!</v>
      </c>
      <c r="FE10" s="66" t="str">
        <f>AND(#REF!,"AAAAAF//Z6A=")</f>
        <v>#REF!</v>
      </c>
      <c r="FF10" s="66" t="str">
        <f>AND(#REF!,"AAAAAF//Z6E=")</f>
        <v>#REF!</v>
      </c>
      <c r="FG10" s="66" t="str">
        <f>AND(#REF!,"AAAAAF//Z6I=")</f>
        <v>#REF!</v>
      </c>
      <c r="FH10" s="66" t="str">
        <f>AND(#REF!,"AAAAAF//Z6M=")</f>
        <v>#REF!</v>
      </c>
      <c r="FI10" s="66" t="str">
        <f>AND(#REF!,"AAAAAF//Z6Q=")</f>
        <v>#REF!</v>
      </c>
      <c r="FJ10" s="66" t="str">
        <f>AND(#REF!,"AAAAAF//Z6U=")</f>
        <v>#REF!</v>
      </c>
      <c r="FK10" s="66" t="str">
        <f>AND(#REF!,"AAAAAF//Z6Y=")</f>
        <v>#REF!</v>
      </c>
      <c r="FL10" s="66" t="str">
        <f>AND(#REF!,"AAAAAF//Z6c=")</f>
        <v>#REF!</v>
      </c>
      <c r="FM10" s="66" t="str">
        <f>AND(#REF!,"AAAAAF//Z6g=")</f>
        <v>#REF!</v>
      </c>
      <c r="FN10" s="66" t="str">
        <f>AND(#REF!,"AAAAAF//Z6k=")</f>
        <v>#REF!</v>
      </c>
      <c r="FO10" s="66" t="str">
        <f>AND(#REF!,"AAAAAF//Z6o=")</f>
        <v>#REF!</v>
      </c>
      <c r="FP10" s="66" t="str">
        <f>AND(#REF!,"AAAAAF//Z6s=")</f>
        <v>#REF!</v>
      </c>
      <c r="FQ10" s="66" t="str">
        <f>AND(#REF!,"AAAAAF//Z6w=")</f>
        <v>#REF!</v>
      </c>
      <c r="FR10" s="66" t="str">
        <f>AND(#REF!,"AAAAAF//Z60=")</f>
        <v>#REF!</v>
      </c>
      <c r="FS10" s="66" t="str">
        <f>AND(#REF!,"AAAAAF//Z64=")</f>
        <v>#REF!</v>
      </c>
      <c r="FT10" s="66" t="str">
        <f>AND(#REF!,"AAAAAF//Z68=")</f>
        <v>#REF!</v>
      </c>
      <c r="FU10" s="66" t="str">
        <f>AND(#REF!,"AAAAAF//Z7A=")</f>
        <v>#REF!</v>
      </c>
      <c r="FV10" s="66" t="str">
        <f>AND(#REF!,"AAAAAF//Z7E=")</f>
        <v>#REF!</v>
      </c>
      <c r="FW10" s="66" t="str">
        <f>AND(#REF!,"AAAAAF//Z7I=")</f>
        <v>#REF!</v>
      </c>
      <c r="FX10" s="66" t="str">
        <f>AND(#REF!,"AAAAAF//Z7M=")</f>
        <v>#REF!</v>
      </c>
      <c r="FY10" s="66" t="str">
        <f>AND(#REF!,"AAAAAF//Z7Q=")</f>
        <v>#REF!</v>
      </c>
      <c r="FZ10" s="66" t="str">
        <f>AND(#REF!,"AAAAAF//Z7U=")</f>
        <v>#REF!</v>
      </c>
      <c r="GA10" s="66" t="str">
        <f>AND(#REF!,"AAAAAF//Z7Y=")</f>
        <v>#REF!</v>
      </c>
      <c r="GB10" s="66" t="str">
        <f>AND(#REF!,"AAAAAF//Z7c=")</f>
        <v>#REF!</v>
      </c>
      <c r="GC10" s="66" t="str">
        <f>AND(#REF!,"AAAAAF//Z7g=")</f>
        <v>#REF!</v>
      </c>
      <c r="GD10" s="66" t="str">
        <f>AND(#REF!,"AAAAAF//Z7k=")</f>
        <v>#REF!</v>
      </c>
      <c r="GE10" s="66" t="str">
        <f>AND(#REF!,"AAAAAF//Z7o=")</f>
        <v>#REF!</v>
      </c>
      <c r="GF10" s="66" t="str">
        <f>AND(#REF!,"AAAAAF//Z7s=")</f>
        <v>#REF!</v>
      </c>
      <c r="GG10" s="66" t="str">
        <f>AND(#REF!,"AAAAAF//Z7w=")</f>
        <v>#REF!</v>
      </c>
      <c r="GH10" s="66" t="str">
        <f>AND(#REF!,"AAAAAF//Z70=")</f>
        <v>#REF!</v>
      </c>
      <c r="GI10" s="66" t="str">
        <f>AND(#REF!,"AAAAAF//Z74=")</f>
        <v>#REF!</v>
      </c>
      <c r="GJ10" s="66" t="str">
        <f>AND(#REF!,"AAAAAF//Z78=")</f>
        <v>#REF!</v>
      </c>
      <c r="GK10" s="66" t="str">
        <f>AND(#REF!,"AAAAAF//Z8A=")</f>
        <v>#REF!</v>
      </c>
      <c r="GL10" s="66" t="str">
        <f>AND(#REF!,"AAAAAF//Z8E=")</f>
        <v>#REF!</v>
      </c>
      <c r="GM10" s="66" t="str">
        <f>AND(#REF!,"AAAAAF//Z8I=")</f>
        <v>#REF!</v>
      </c>
      <c r="GN10" s="66" t="str">
        <f>AND(#REF!,"AAAAAF//Z8M=")</f>
        <v>#REF!</v>
      </c>
      <c r="GO10" s="66" t="str">
        <f>AND(#REF!,"AAAAAF//Z8Q=")</f>
        <v>#REF!</v>
      </c>
      <c r="GP10" s="66" t="str">
        <f>AND(#REF!,"AAAAAF//Z8U=")</f>
        <v>#REF!</v>
      </c>
      <c r="GQ10" s="66" t="str">
        <f>AND(#REF!,"AAAAAF//Z8Y=")</f>
        <v>#REF!</v>
      </c>
      <c r="GR10" s="66" t="str">
        <f>IF(#REF!,"AAAAAF//Z8c=",0)</f>
        <v>#REF!</v>
      </c>
      <c r="GS10" s="66" t="str">
        <f>AND(#REF!,"AAAAAF//Z8g=")</f>
        <v>#REF!</v>
      </c>
      <c r="GT10" s="66" t="str">
        <f>AND(#REF!,"AAAAAF//Z8k=")</f>
        <v>#REF!</v>
      </c>
      <c r="GU10" s="66" t="str">
        <f>AND(#REF!,"AAAAAF//Z8o=")</f>
        <v>#REF!</v>
      </c>
      <c r="GV10" s="66" t="str">
        <f>AND(#REF!,"AAAAAF//Z8s=")</f>
        <v>#REF!</v>
      </c>
      <c r="GW10" s="66" t="str">
        <f>AND(#REF!,"AAAAAF//Z8w=")</f>
        <v>#REF!</v>
      </c>
      <c r="GX10" s="66" t="str">
        <f>AND(#REF!,"AAAAAF//Z80=")</f>
        <v>#REF!</v>
      </c>
      <c r="GY10" s="66" t="str">
        <f>AND(#REF!,"AAAAAF//Z84=")</f>
        <v>#REF!</v>
      </c>
      <c r="GZ10" s="66" t="str">
        <f>AND(#REF!,"AAAAAF//Z88=")</f>
        <v>#REF!</v>
      </c>
      <c r="HA10" s="66" t="str">
        <f>AND(#REF!,"AAAAAF//Z9A=")</f>
        <v>#REF!</v>
      </c>
      <c r="HB10" s="66" t="str">
        <f>AND(#REF!,"AAAAAF//Z9E=")</f>
        <v>#REF!</v>
      </c>
      <c r="HC10" s="66" t="str">
        <f>AND(#REF!,"AAAAAF//Z9I=")</f>
        <v>#REF!</v>
      </c>
      <c r="HD10" s="66" t="str">
        <f>AND(#REF!,"AAAAAF//Z9M=")</f>
        <v>#REF!</v>
      </c>
      <c r="HE10" s="66" t="str">
        <f>AND(#REF!,"AAAAAF//Z9Q=")</f>
        <v>#REF!</v>
      </c>
      <c r="HF10" s="66" t="str">
        <f>AND(#REF!,"AAAAAF//Z9U=")</f>
        <v>#REF!</v>
      </c>
      <c r="HG10" s="66" t="str">
        <f>AND(#REF!,"AAAAAF//Z9Y=")</f>
        <v>#REF!</v>
      </c>
      <c r="HH10" s="66" t="str">
        <f>AND(#REF!,"AAAAAF//Z9c=")</f>
        <v>#REF!</v>
      </c>
      <c r="HI10" s="66" t="str">
        <f>AND(#REF!,"AAAAAF//Z9g=")</f>
        <v>#REF!</v>
      </c>
      <c r="HJ10" s="66" t="str">
        <f>AND(#REF!,"AAAAAF//Z9k=")</f>
        <v>#REF!</v>
      </c>
      <c r="HK10" s="66" t="str">
        <f>AND(#REF!,"AAAAAF//Z9o=")</f>
        <v>#REF!</v>
      </c>
      <c r="HL10" s="66" t="str">
        <f>AND(#REF!,"AAAAAF//Z9s=")</f>
        <v>#REF!</v>
      </c>
      <c r="HM10" s="66" t="str">
        <f>AND(#REF!,"AAAAAF//Z9w=")</f>
        <v>#REF!</v>
      </c>
      <c r="HN10" s="66" t="str">
        <f>AND(#REF!,"AAAAAF//Z90=")</f>
        <v>#REF!</v>
      </c>
      <c r="HO10" s="66" t="str">
        <f>AND(#REF!,"AAAAAF//Z94=")</f>
        <v>#REF!</v>
      </c>
      <c r="HP10" s="66" t="str">
        <f>AND(#REF!,"AAAAAF//Z98=")</f>
        <v>#REF!</v>
      </c>
      <c r="HQ10" s="66" t="str">
        <f>AND(#REF!,"AAAAAF//Z+A=")</f>
        <v>#REF!</v>
      </c>
      <c r="HR10" s="66" t="str">
        <f>AND(#REF!,"AAAAAF//Z+E=")</f>
        <v>#REF!</v>
      </c>
      <c r="HS10" s="66" t="str">
        <f>AND(#REF!,"AAAAAF//Z+I=")</f>
        <v>#REF!</v>
      </c>
      <c r="HT10" s="66" t="str">
        <f>AND(#REF!,"AAAAAF//Z+M=")</f>
        <v>#REF!</v>
      </c>
      <c r="HU10" s="66" t="str">
        <f>AND(#REF!,"AAAAAF//Z+Q=")</f>
        <v>#REF!</v>
      </c>
      <c r="HV10" s="66" t="str">
        <f>AND(#REF!,"AAAAAF//Z+U=")</f>
        <v>#REF!</v>
      </c>
      <c r="HW10" s="66" t="str">
        <f>AND(#REF!,"AAAAAF//Z+Y=")</f>
        <v>#REF!</v>
      </c>
      <c r="HX10" s="66" t="str">
        <f>AND(#REF!,"AAAAAF//Z+c=")</f>
        <v>#REF!</v>
      </c>
      <c r="HY10" s="66" t="str">
        <f>AND(#REF!,"AAAAAF//Z+g=")</f>
        <v>#REF!</v>
      </c>
      <c r="HZ10" s="66" t="str">
        <f>AND(#REF!,"AAAAAF//Z+k=")</f>
        <v>#REF!</v>
      </c>
      <c r="IA10" s="66" t="str">
        <f>AND(#REF!,"AAAAAF//Z+o=")</f>
        <v>#REF!</v>
      </c>
      <c r="IB10" s="66" t="str">
        <f>AND(#REF!,"AAAAAF//Z+s=")</f>
        <v>#REF!</v>
      </c>
      <c r="IC10" s="66" t="str">
        <f>AND(#REF!,"AAAAAF//Z+w=")</f>
        <v>#REF!</v>
      </c>
      <c r="ID10" s="66" t="str">
        <f>AND(#REF!,"AAAAAF//Z+0=")</f>
        <v>#REF!</v>
      </c>
      <c r="IE10" s="66" t="str">
        <f>AND(#REF!,"AAAAAF//Z+4=")</f>
        <v>#REF!</v>
      </c>
      <c r="IF10" s="66" t="str">
        <f>AND(#REF!,"AAAAAF//Z+8=")</f>
        <v>#REF!</v>
      </c>
      <c r="IG10" s="66" t="str">
        <f>IF(#REF!,"AAAAAF//Z/A=",0)</f>
        <v>#REF!</v>
      </c>
      <c r="IH10" s="66" t="str">
        <f>AND(#REF!,"AAAAAF//Z/E=")</f>
        <v>#REF!</v>
      </c>
      <c r="II10" s="66" t="str">
        <f>AND(#REF!,"AAAAAF//Z/I=")</f>
        <v>#REF!</v>
      </c>
      <c r="IJ10" s="66" t="str">
        <f>AND(#REF!,"AAAAAF//Z/M=")</f>
        <v>#REF!</v>
      </c>
      <c r="IK10" s="66" t="str">
        <f>AND(#REF!,"AAAAAF//Z/Q=")</f>
        <v>#REF!</v>
      </c>
      <c r="IL10" s="66" t="str">
        <f>AND(#REF!,"AAAAAF//Z/U=")</f>
        <v>#REF!</v>
      </c>
      <c r="IM10" s="66" t="str">
        <f>AND(#REF!,"AAAAAF//Z/Y=")</f>
        <v>#REF!</v>
      </c>
      <c r="IN10" s="66" t="str">
        <f>AND(#REF!,"AAAAAF//Z/c=")</f>
        <v>#REF!</v>
      </c>
      <c r="IO10" s="66" t="str">
        <f>AND(#REF!,"AAAAAF//Z/g=")</f>
        <v>#REF!</v>
      </c>
      <c r="IP10" s="66" t="str">
        <f>AND(#REF!,"AAAAAF//Z/k=")</f>
        <v>#REF!</v>
      </c>
      <c r="IQ10" s="66" t="str">
        <f>AND(#REF!,"AAAAAF//Z/o=")</f>
        <v>#REF!</v>
      </c>
      <c r="IR10" s="66" t="str">
        <f>AND(#REF!,"AAAAAF//Z/s=")</f>
        <v>#REF!</v>
      </c>
      <c r="IS10" s="66" t="str">
        <f>AND(#REF!,"AAAAAF//Z/w=")</f>
        <v>#REF!</v>
      </c>
      <c r="IT10" s="66" t="str">
        <f>AND(#REF!,"AAAAAF//Z/0=")</f>
        <v>#REF!</v>
      </c>
      <c r="IU10" s="66" t="str">
        <f>AND(#REF!,"AAAAAF//Z/4=")</f>
        <v>#REF!</v>
      </c>
      <c r="IV10" s="66" t="str">
        <f>AND(#REF!,"AAAAAF//Z/8=")</f>
        <v>#REF!</v>
      </c>
    </row>
    <row r="11" ht="12.75" customHeight="1">
      <c r="A11" s="66" t="str">
        <f>AND(#REF!,"AAAAAD917wA=")</f>
        <v>#REF!</v>
      </c>
      <c r="B11" s="66" t="str">
        <f>AND(#REF!,"AAAAAD917wE=")</f>
        <v>#REF!</v>
      </c>
      <c r="C11" s="66" t="str">
        <f>AND(#REF!,"AAAAAD917wI=")</f>
        <v>#REF!</v>
      </c>
      <c r="D11" s="66" t="str">
        <f>AND(#REF!,"AAAAAD917wM=")</f>
        <v>#REF!</v>
      </c>
      <c r="E11" s="66" t="str">
        <f>AND(#REF!,"AAAAAD917wQ=")</f>
        <v>#REF!</v>
      </c>
      <c r="F11" s="66" t="str">
        <f>AND(#REF!,"AAAAAD917wU=")</f>
        <v>#REF!</v>
      </c>
      <c r="G11" s="66" t="str">
        <f>AND(#REF!,"AAAAAD917wY=")</f>
        <v>#REF!</v>
      </c>
      <c r="H11" s="66" t="str">
        <f>AND(#REF!,"AAAAAD917wc=")</f>
        <v>#REF!</v>
      </c>
      <c r="I11" s="66" t="str">
        <f>AND(#REF!,"AAAAAD917wg=")</f>
        <v>#REF!</v>
      </c>
      <c r="J11" s="66" t="str">
        <f>AND(#REF!,"AAAAAD917wk=")</f>
        <v>#REF!</v>
      </c>
      <c r="K11" s="66" t="str">
        <f>AND(#REF!,"AAAAAD917wo=")</f>
        <v>#REF!</v>
      </c>
      <c r="L11" s="66" t="str">
        <f>AND(#REF!,"AAAAAD917ws=")</f>
        <v>#REF!</v>
      </c>
      <c r="M11" s="66" t="str">
        <f>AND(#REF!,"AAAAAD917ww=")</f>
        <v>#REF!</v>
      </c>
      <c r="N11" s="66" t="str">
        <f>AND(#REF!,"AAAAAD917w0=")</f>
        <v>#REF!</v>
      </c>
      <c r="O11" s="66" t="str">
        <f>AND(#REF!,"AAAAAD917w4=")</f>
        <v>#REF!</v>
      </c>
      <c r="P11" s="66" t="str">
        <f>AND(#REF!,"AAAAAD917w8=")</f>
        <v>#REF!</v>
      </c>
      <c r="Q11" s="66" t="str">
        <f>AND(#REF!,"AAAAAD917xA=")</f>
        <v>#REF!</v>
      </c>
      <c r="R11" s="66" t="str">
        <f>AND(#REF!,"AAAAAD917xE=")</f>
        <v>#REF!</v>
      </c>
      <c r="S11" s="66" t="str">
        <f>AND(#REF!,"AAAAAD917xI=")</f>
        <v>#REF!</v>
      </c>
      <c r="T11" s="66" t="str">
        <f>AND(#REF!,"AAAAAD917xM=")</f>
        <v>#REF!</v>
      </c>
      <c r="U11" s="66" t="str">
        <f>AND(#REF!,"AAAAAD917xQ=")</f>
        <v>#REF!</v>
      </c>
      <c r="V11" s="66" t="str">
        <f>AND(#REF!,"AAAAAD917xU=")</f>
        <v>#REF!</v>
      </c>
      <c r="W11" s="66" t="str">
        <f>AND(#REF!,"AAAAAD917xY=")</f>
        <v>#REF!</v>
      </c>
      <c r="X11" s="66" t="str">
        <f>AND(#REF!,"AAAAAD917xc=")</f>
        <v>#REF!</v>
      </c>
      <c r="Y11" s="66" t="str">
        <f>AND(#REF!,"AAAAAD917xg=")</f>
        <v>#REF!</v>
      </c>
      <c r="Z11" s="66" t="str">
        <f>IF(#REF!,"AAAAAD917xk=",0)</f>
        <v>#REF!</v>
      </c>
      <c r="AA11" s="66" t="str">
        <f>AND(#REF!,"AAAAAD917xo=")</f>
        <v>#REF!</v>
      </c>
      <c r="AB11" s="66" t="str">
        <f>AND(#REF!,"AAAAAD917xs=")</f>
        <v>#REF!</v>
      </c>
      <c r="AC11" s="66" t="str">
        <f>AND(#REF!,"AAAAAD917xw=")</f>
        <v>#REF!</v>
      </c>
      <c r="AD11" s="66" t="str">
        <f>AND(#REF!,"AAAAAD917x0=")</f>
        <v>#REF!</v>
      </c>
      <c r="AE11" s="66" t="str">
        <f>AND(#REF!,"AAAAAD917x4=")</f>
        <v>#REF!</v>
      </c>
      <c r="AF11" s="66" t="str">
        <f>AND(#REF!,"AAAAAD917x8=")</f>
        <v>#REF!</v>
      </c>
      <c r="AG11" s="66" t="str">
        <f>AND(#REF!,"AAAAAD917yA=")</f>
        <v>#REF!</v>
      </c>
      <c r="AH11" s="66" t="str">
        <f>AND(#REF!,"AAAAAD917yE=")</f>
        <v>#REF!</v>
      </c>
      <c r="AI11" s="66" t="str">
        <f>AND(#REF!,"AAAAAD917yI=")</f>
        <v>#REF!</v>
      </c>
      <c r="AJ11" s="66" t="str">
        <f>AND(#REF!,"AAAAAD917yM=")</f>
        <v>#REF!</v>
      </c>
      <c r="AK11" s="66" t="str">
        <f>AND(#REF!,"AAAAAD917yQ=")</f>
        <v>#REF!</v>
      </c>
      <c r="AL11" s="66" t="str">
        <f>AND(#REF!,"AAAAAD917yU=")</f>
        <v>#REF!</v>
      </c>
      <c r="AM11" s="66" t="str">
        <f>AND(#REF!,"AAAAAD917yY=")</f>
        <v>#REF!</v>
      </c>
      <c r="AN11" s="66" t="str">
        <f>AND(#REF!,"AAAAAD917yc=")</f>
        <v>#REF!</v>
      </c>
      <c r="AO11" s="66" t="str">
        <f>AND(#REF!,"AAAAAD917yg=")</f>
        <v>#REF!</v>
      </c>
      <c r="AP11" s="66" t="str">
        <f>AND(#REF!,"AAAAAD917yk=")</f>
        <v>#REF!</v>
      </c>
      <c r="AQ11" s="66" t="str">
        <f>AND(#REF!,"AAAAAD917yo=")</f>
        <v>#REF!</v>
      </c>
      <c r="AR11" s="66" t="str">
        <f>AND(#REF!,"AAAAAD917ys=")</f>
        <v>#REF!</v>
      </c>
      <c r="AS11" s="66" t="str">
        <f>AND(#REF!,"AAAAAD917yw=")</f>
        <v>#REF!</v>
      </c>
      <c r="AT11" s="66" t="str">
        <f>AND(#REF!,"AAAAAD917y0=")</f>
        <v>#REF!</v>
      </c>
      <c r="AU11" s="66" t="str">
        <f>AND(#REF!,"AAAAAD917y4=")</f>
        <v>#REF!</v>
      </c>
      <c r="AV11" s="66" t="str">
        <f>AND(#REF!,"AAAAAD917y8=")</f>
        <v>#REF!</v>
      </c>
      <c r="AW11" s="66" t="str">
        <f>AND(#REF!,"AAAAAD917zA=")</f>
        <v>#REF!</v>
      </c>
      <c r="AX11" s="66" t="str">
        <f>AND(#REF!,"AAAAAD917zE=")</f>
        <v>#REF!</v>
      </c>
      <c r="AY11" s="66" t="str">
        <f>AND(#REF!,"AAAAAD917zI=")</f>
        <v>#REF!</v>
      </c>
      <c r="AZ11" s="66" t="str">
        <f>AND(#REF!,"AAAAAD917zM=")</f>
        <v>#REF!</v>
      </c>
      <c r="BA11" s="66" t="str">
        <f>AND(#REF!,"AAAAAD917zQ=")</f>
        <v>#REF!</v>
      </c>
      <c r="BB11" s="66" t="str">
        <f>AND(#REF!,"AAAAAD917zU=")</f>
        <v>#REF!</v>
      </c>
      <c r="BC11" s="66" t="str">
        <f>AND(#REF!,"AAAAAD917zY=")</f>
        <v>#REF!</v>
      </c>
      <c r="BD11" s="66" t="str">
        <f>AND(#REF!,"AAAAAD917zc=")</f>
        <v>#REF!</v>
      </c>
      <c r="BE11" s="66" t="str">
        <f>AND(#REF!,"AAAAAD917zg=")</f>
        <v>#REF!</v>
      </c>
      <c r="BF11" s="66" t="str">
        <f>AND(#REF!,"AAAAAD917zk=")</f>
        <v>#REF!</v>
      </c>
      <c r="BG11" s="66" t="str">
        <f>AND(#REF!,"AAAAAD917zo=")</f>
        <v>#REF!</v>
      </c>
      <c r="BH11" s="66" t="str">
        <f>AND(#REF!,"AAAAAD917zs=")</f>
        <v>#REF!</v>
      </c>
      <c r="BI11" s="66" t="str">
        <f>AND(#REF!,"AAAAAD917zw=")</f>
        <v>#REF!</v>
      </c>
      <c r="BJ11" s="66" t="str">
        <f>AND(#REF!,"AAAAAD917z0=")</f>
        <v>#REF!</v>
      </c>
      <c r="BK11" s="66" t="str">
        <f>AND(#REF!,"AAAAAD917z4=")</f>
        <v>#REF!</v>
      </c>
      <c r="BL11" s="66" t="str">
        <f>AND(#REF!,"AAAAAD917z8=")</f>
        <v>#REF!</v>
      </c>
      <c r="BM11" s="66" t="str">
        <f>AND(#REF!,"AAAAAD9170A=")</f>
        <v>#REF!</v>
      </c>
      <c r="BN11" s="66" t="str">
        <f>AND(#REF!,"AAAAAD9170E=")</f>
        <v>#REF!</v>
      </c>
      <c r="BO11" s="66" t="str">
        <f>IF(#REF!,"AAAAAD9170I=",0)</f>
        <v>#REF!</v>
      </c>
      <c r="BP11" s="66" t="str">
        <f>AND(#REF!,"AAAAAD9170M=")</f>
        <v>#REF!</v>
      </c>
      <c r="BQ11" s="66" t="str">
        <f>AND(#REF!,"AAAAAD9170Q=")</f>
        <v>#REF!</v>
      </c>
      <c r="BR11" s="66" t="str">
        <f>AND(#REF!,"AAAAAD9170U=")</f>
        <v>#REF!</v>
      </c>
      <c r="BS11" s="66" t="str">
        <f>AND(#REF!,"AAAAAD9170Y=")</f>
        <v>#REF!</v>
      </c>
      <c r="BT11" s="66" t="str">
        <f>AND(#REF!,"AAAAAD9170c=")</f>
        <v>#REF!</v>
      </c>
      <c r="BU11" s="66" t="str">
        <f>AND(#REF!,"AAAAAD9170g=")</f>
        <v>#REF!</v>
      </c>
      <c r="BV11" s="66" t="str">
        <f>AND(#REF!,"AAAAAD9170k=")</f>
        <v>#REF!</v>
      </c>
      <c r="BW11" s="66" t="str">
        <f>AND(#REF!,"AAAAAD9170o=")</f>
        <v>#REF!</v>
      </c>
      <c r="BX11" s="66" t="str">
        <f>AND(#REF!,"AAAAAD9170s=")</f>
        <v>#REF!</v>
      </c>
      <c r="BY11" s="66" t="str">
        <f>AND(#REF!,"AAAAAD9170w=")</f>
        <v>#REF!</v>
      </c>
      <c r="BZ11" s="66" t="str">
        <f>AND(#REF!,"AAAAAD91700=")</f>
        <v>#REF!</v>
      </c>
      <c r="CA11" s="66" t="str">
        <f>AND(#REF!,"AAAAAD91704=")</f>
        <v>#REF!</v>
      </c>
      <c r="CB11" s="66" t="str">
        <f>AND(#REF!,"AAAAAD91708=")</f>
        <v>#REF!</v>
      </c>
      <c r="CC11" s="66" t="str">
        <f>AND(#REF!,"AAAAAD9171A=")</f>
        <v>#REF!</v>
      </c>
      <c r="CD11" s="66" t="str">
        <f>AND(#REF!,"AAAAAD9171E=")</f>
        <v>#REF!</v>
      </c>
      <c r="CE11" s="66" t="str">
        <f>AND(#REF!,"AAAAAD9171I=")</f>
        <v>#REF!</v>
      </c>
      <c r="CF11" s="66" t="str">
        <f>AND(#REF!,"AAAAAD9171M=")</f>
        <v>#REF!</v>
      </c>
      <c r="CG11" s="66" t="str">
        <f>AND(#REF!,"AAAAAD9171Q=")</f>
        <v>#REF!</v>
      </c>
      <c r="CH11" s="66" t="str">
        <f>AND(#REF!,"AAAAAD9171U=")</f>
        <v>#REF!</v>
      </c>
      <c r="CI11" s="66" t="str">
        <f>AND(#REF!,"AAAAAD9171Y=")</f>
        <v>#REF!</v>
      </c>
      <c r="CJ11" s="66" t="str">
        <f>AND(#REF!,"AAAAAD9171c=")</f>
        <v>#REF!</v>
      </c>
      <c r="CK11" s="66" t="str">
        <f>AND(#REF!,"AAAAAD9171g=")</f>
        <v>#REF!</v>
      </c>
      <c r="CL11" s="66" t="str">
        <f>AND(#REF!,"AAAAAD9171k=")</f>
        <v>#REF!</v>
      </c>
      <c r="CM11" s="66" t="str">
        <f>AND(#REF!,"AAAAAD9171o=")</f>
        <v>#REF!</v>
      </c>
      <c r="CN11" s="66" t="str">
        <f>AND(#REF!,"AAAAAD9171s=")</f>
        <v>#REF!</v>
      </c>
      <c r="CO11" s="66" t="str">
        <f>AND(#REF!,"AAAAAD9171w=")</f>
        <v>#REF!</v>
      </c>
      <c r="CP11" s="66" t="str">
        <f>AND(#REF!,"AAAAAD91710=")</f>
        <v>#REF!</v>
      </c>
      <c r="CQ11" s="66" t="str">
        <f>AND(#REF!,"AAAAAD91714=")</f>
        <v>#REF!</v>
      </c>
      <c r="CR11" s="66" t="str">
        <f>AND(#REF!,"AAAAAD91718=")</f>
        <v>#REF!</v>
      </c>
      <c r="CS11" s="66" t="str">
        <f>AND(#REF!,"AAAAAD9172A=")</f>
        <v>#REF!</v>
      </c>
      <c r="CT11" s="66" t="str">
        <f>AND(#REF!,"AAAAAD9172E=")</f>
        <v>#REF!</v>
      </c>
      <c r="CU11" s="66" t="str">
        <f>AND(#REF!,"AAAAAD9172I=")</f>
        <v>#REF!</v>
      </c>
      <c r="CV11" s="66" t="str">
        <f>AND(#REF!,"AAAAAD9172M=")</f>
        <v>#REF!</v>
      </c>
      <c r="CW11" s="66" t="str">
        <f>AND(#REF!,"AAAAAD9172Q=")</f>
        <v>#REF!</v>
      </c>
      <c r="CX11" s="66" t="str">
        <f>AND(#REF!,"AAAAAD9172U=")</f>
        <v>#REF!</v>
      </c>
      <c r="CY11" s="66" t="str">
        <f>AND(#REF!,"AAAAAD9172Y=")</f>
        <v>#REF!</v>
      </c>
      <c r="CZ11" s="66" t="str">
        <f>AND(#REF!,"AAAAAD9172c=")</f>
        <v>#REF!</v>
      </c>
      <c r="DA11" s="66" t="str">
        <f>AND(#REF!,"AAAAAD9172g=")</f>
        <v>#REF!</v>
      </c>
      <c r="DB11" s="66" t="str">
        <f>AND(#REF!,"AAAAAD9172k=")</f>
        <v>#REF!</v>
      </c>
      <c r="DC11" s="66" t="str">
        <f>AND(#REF!,"AAAAAD9172o=")</f>
        <v>#REF!</v>
      </c>
      <c r="DD11" s="66" t="str">
        <f>IF(#REF!,"AAAAAD9172s=",0)</f>
        <v>#REF!</v>
      </c>
      <c r="DE11" s="66" t="str">
        <f>AND(#REF!,"AAAAAD9172w=")</f>
        <v>#REF!</v>
      </c>
      <c r="DF11" s="66" t="str">
        <f>AND(#REF!,"AAAAAD91720=")</f>
        <v>#REF!</v>
      </c>
      <c r="DG11" s="66" t="str">
        <f>AND(#REF!,"AAAAAD91724=")</f>
        <v>#REF!</v>
      </c>
      <c r="DH11" s="66" t="str">
        <f>AND(#REF!,"AAAAAD91728=")</f>
        <v>#REF!</v>
      </c>
      <c r="DI11" s="66" t="str">
        <f>AND(#REF!,"AAAAAD9173A=")</f>
        <v>#REF!</v>
      </c>
      <c r="DJ11" s="66" t="str">
        <f>AND(#REF!,"AAAAAD9173E=")</f>
        <v>#REF!</v>
      </c>
      <c r="DK11" s="66" t="str">
        <f>AND(#REF!,"AAAAAD9173I=")</f>
        <v>#REF!</v>
      </c>
      <c r="DL11" s="66" t="str">
        <f>AND(#REF!,"AAAAAD9173M=")</f>
        <v>#REF!</v>
      </c>
      <c r="DM11" s="66" t="str">
        <f>AND(#REF!,"AAAAAD9173Q=")</f>
        <v>#REF!</v>
      </c>
      <c r="DN11" s="66" t="str">
        <f>AND(#REF!,"AAAAAD9173U=")</f>
        <v>#REF!</v>
      </c>
      <c r="DO11" s="66" t="str">
        <f>AND(#REF!,"AAAAAD9173Y=")</f>
        <v>#REF!</v>
      </c>
      <c r="DP11" s="66" t="str">
        <f>AND(#REF!,"AAAAAD9173c=")</f>
        <v>#REF!</v>
      </c>
      <c r="DQ11" s="66" t="str">
        <f>AND(#REF!,"AAAAAD9173g=")</f>
        <v>#REF!</v>
      </c>
      <c r="DR11" s="66" t="str">
        <f>AND(#REF!,"AAAAAD9173k=")</f>
        <v>#REF!</v>
      </c>
      <c r="DS11" s="66" t="str">
        <f>AND(#REF!,"AAAAAD9173o=")</f>
        <v>#REF!</v>
      </c>
      <c r="DT11" s="66" t="str">
        <f>AND(#REF!,"AAAAAD9173s=")</f>
        <v>#REF!</v>
      </c>
      <c r="DU11" s="66" t="str">
        <f>AND(#REF!,"AAAAAD9173w=")</f>
        <v>#REF!</v>
      </c>
      <c r="DV11" s="66" t="str">
        <f>AND(#REF!,"AAAAAD91730=")</f>
        <v>#REF!</v>
      </c>
      <c r="DW11" s="66" t="str">
        <f>AND(#REF!,"AAAAAD91734=")</f>
        <v>#REF!</v>
      </c>
      <c r="DX11" s="66" t="str">
        <f>AND(#REF!,"AAAAAD91738=")</f>
        <v>#REF!</v>
      </c>
      <c r="DY11" s="66" t="str">
        <f>AND(#REF!,"AAAAAD9174A=")</f>
        <v>#REF!</v>
      </c>
      <c r="DZ11" s="66" t="str">
        <f>AND(#REF!,"AAAAAD9174E=")</f>
        <v>#REF!</v>
      </c>
      <c r="EA11" s="66" t="str">
        <f>AND(#REF!,"AAAAAD9174I=")</f>
        <v>#REF!</v>
      </c>
      <c r="EB11" s="66" t="str">
        <f>AND(#REF!,"AAAAAD9174M=")</f>
        <v>#REF!</v>
      </c>
      <c r="EC11" s="66" t="str">
        <f>AND(#REF!,"AAAAAD9174Q=")</f>
        <v>#REF!</v>
      </c>
      <c r="ED11" s="66" t="str">
        <f>AND(#REF!,"AAAAAD9174U=")</f>
        <v>#REF!</v>
      </c>
      <c r="EE11" s="66" t="str">
        <f>AND(#REF!,"AAAAAD9174Y=")</f>
        <v>#REF!</v>
      </c>
      <c r="EF11" s="66" t="str">
        <f>AND(#REF!,"AAAAAD9174c=")</f>
        <v>#REF!</v>
      </c>
      <c r="EG11" s="66" t="str">
        <f>AND(#REF!,"AAAAAD9174g=")</f>
        <v>#REF!</v>
      </c>
      <c r="EH11" s="66" t="str">
        <f>AND(#REF!,"AAAAAD9174k=")</f>
        <v>#REF!</v>
      </c>
      <c r="EI11" s="66" t="str">
        <f>AND(#REF!,"AAAAAD9174o=")</f>
        <v>#REF!</v>
      </c>
      <c r="EJ11" s="66" t="str">
        <f>AND(#REF!,"AAAAAD9174s=")</f>
        <v>#REF!</v>
      </c>
      <c r="EK11" s="66" t="str">
        <f>AND(#REF!,"AAAAAD9174w=")</f>
        <v>#REF!</v>
      </c>
      <c r="EL11" s="66" t="str">
        <f>AND(#REF!,"AAAAAD91740=")</f>
        <v>#REF!</v>
      </c>
      <c r="EM11" s="66" t="str">
        <f>AND(#REF!,"AAAAAD91744=")</f>
        <v>#REF!</v>
      </c>
      <c r="EN11" s="66" t="str">
        <f>AND(#REF!,"AAAAAD91748=")</f>
        <v>#REF!</v>
      </c>
      <c r="EO11" s="66" t="str">
        <f>AND(#REF!,"AAAAAD9175A=")</f>
        <v>#REF!</v>
      </c>
      <c r="EP11" s="66" t="str">
        <f>AND(#REF!,"AAAAAD9175E=")</f>
        <v>#REF!</v>
      </c>
      <c r="EQ11" s="66" t="str">
        <f>AND(#REF!,"AAAAAD9175I=")</f>
        <v>#REF!</v>
      </c>
      <c r="ER11" s="66" t="str">
        <f>AND(#REF!,"AAAAAD9175M=")</f>
        <v>#REF!</v>
      </c>
      <c r="ES11" s="66" t="str">
        <f>IF(#REF!,"AAAAAD9175Q=",0)</f>
        <v>#REF!</v>
      </c>
      <c r="ET11" s="66" t="str">
        <f>AND(#REF!,"AAAAAD9175U=")</f>
        <v>#REF!</v>
      </c>
      <c r="EU11" s="66" t="str">
        <f>AND(#REF!,"AAAAAD9175Y=")</f>
        <v>#REF!</v>
      </c>
      <c r="EV11" s="66" t="str">
        <f>AND(#REF!,"AAAAAD9175c=")</f>
        <v>#REF!</v>
      </c>
      <c r="EW11" s="66" t="str">
        <f>AND(#REF!,"AAAAAD9175g=")</f>
        <v>#REF!</v>
      </c>
      <c r="EX11" s="66" t="str">
        <f>AND(#REF!,"AAAAAD9175k=")</f>
        <v>#REF!</v>
      </c>
      <c r="EY11" s="66" t="str">
        <f>AND(#REF!,"AAAAAD9175o=")</f>
        <v>#REF!</v>
      </c>
      <c r="EZ11" s="66" t="str">
        <f>AND(#REF!,"AAAAAD9175s=")</f>
        <v>#REF!</v>
      </c>
      <c r="FA11" s="66" t="str">
        <f>AND(#REF!,"AAAAAD9175w=")</f>
        <v>#REF!</v>
      </c>
      <c r="FB11" s="66" t="str">
        <f>AND(#REF!,"AAAAAD91750=")</f>
        <v>#REF!</v>
      </c>
      <c r="FC11" s="66" t="str">
        <f>AND(#REF!,"AAAAAD91754=")</f>
        <v>#REF!</v>
      </c>
      <c r="FD11" s="66" t="str">
        <f>AND(#REF!,"AAAAAD91758=")</f>
        <v>#REF!</v>
      </c>
      <c r="FE11" s="66" t="str">
        <f>AND(#REF!,"AAAAAD9176A=")</f>
        <v>#REF!</v>
      </c>
      <c r="FF11" s="66" t="str">
        <f>AND(#REF!,"AAAAAD9176E=")</f>
        <v>#REF!</v>
      </c>
      <c r="FG11" s="66" t="str">
        <f>AND(#REF!,"AAAAAD9176I=")</f>
        <v>#REF!</v>
      </c>
      <c r="FH11" s="66" t="str">
        <f>AND(#REF!,"AAAAAD9176M=")</f>
        <v>#REF!</v>
      </c>
      <c r="FI11" s="66" t="str">
        <f>AND(#REF!,"AAAAAD9176Q=")</f>
        <v>#REF!</v>
      </c>
      <c r="FJ11" s="66" t="str">
        <f>AND(#REF!,"AAAAAD9176U=")</f>
        <v>#REF!</v>
      </c>
      <c r="FK11" s="66" t="str">
        <f>AND(#REF!,"AAAAAD9176Y=")</f>
        <v>#REF!</v>
      </c>
      <c r="FL11" s="66" t="str">
        <f>AND(#REF!,"AAAAAD9176c=")</f>
        <v>#REF!</v>
      </c>
      <c r="FM11" s="66" t="str">
        <f>AND(#REF!,"AAAAAD9176g=")</f>
        <v>#REF!</v>
      </c>
      <c r="FN11" s="66" t="str">
        <f>AND(#REF!,"AAAAAD9176k=")</f>
        <v>#REF!</v>
      </c>
      <c r="FO11" s="66" t="str">
        <f>AND(#REF!,"AAAAAD9176o=")</f>
        <v>#REF!</v>
      </c>
      <c r="FP11" s="66" t="str">
        <f>AND(#REF!,"AAAAAD9176s=")</f>
        <v>#REF!</v>
      </c>
      <c r="FQ11" s="66" t="str">
        <f>AND(#REF!,"AAAAAD9176w=")</f>
        <v>#REF!</v>
      </c>
      <c r="FR11" s="66" t="str">
        <f>AND(#REF!,"AAAAAD91760=")</f>
        <v>#REF!</v>
      </c>
      <c r="FS11" s="66" t="str">
        <f>AND(#REF!,"AAAAAD91764=")</f>
        <v>#REF!</v>
      </c>
      <c r="FT11" s="66" t="str">
        <f>AND(#REF!,"AAAAAD91768=")</f>
        <v>#REF!</v>
      </c>
      <c r="FU11" s="66" t="str">
        <f>AND(#REF!,"AAAAAD9177A=")</f>
        <v>#REF!</v>
      </c>
      <c r="FV11" s="66" t="str">
        <f>AND(#REF!,"AAAAAD9177E=")</f>
        <v>#REF!</v>
      </c>
      <c r="FW11" s="66" t="str">
        <f>AND(#REF!,"AAAAAD9177I=")</f>
        <v>#REF!</v>
      </c>
      <c r="FX11" s="66" t="str">
        <f>AND(#REF!,"AAAAAD9177M=")</f>
        <v>#REF!</v>
      </c>
      <c r="FY11" s="66" t="str">
        <f>AND(#REF!,"AAAAAD9177Q=")</f>
        <v>#REF!</v>
      </c>
      <c r="FZ11" s="66" t="str">
        <f>AND(#REF!,"AAAAAD9177U=")</f>
        <v>#REF!</v>
      </c>
      <c r="GA11" s="66" t="str">
        <f>AND(#REF!,"AAAAAD9177Y=")</f>
        <v>#REF!</v>
      </c>
      <c r="GB11" s="66" t="str">
        <f>AND(#REF!,"AAAAAD9177c=")</f>
        <v>#REF!</v>
      </c>
      <c r="GC11" s="66" t="str">
        <f>AND(#REF!,"AAAAAD9177g=")</f>
        <v>#REF!</v>
      </c>
      <c r="GD11" s="66" t="str">
        <f>AND(#REF!,"AAAAAD9177k=")</f>
        <v>#REF!</v>
      </c>
      <c r="GE11" s="66" t="str">
        <f>AND(#REF!,"AAAAAD9177o=")</f>
        <v>#REF!</v>
      </c>
      <c r="GF11" s="66" t="str">
        <f>AND(#REF!,"AAAAAD9177s=")</f>
        <v>#REF!</v>
      </c>
      <c r="GG11" s="66" t="str">
        <f>AND(#REF!,"AAAAAD9177w=")</f>
        <v>#REF!</v>
      </c>
      <c r="GH11" s="66" t="str">
        <f>IF(#REF!,"AAAAAD91770=",0)</f>
        <v>#REF!</v>
      </c>
      <c r="GI11" s="66" t="str">
        <f>AND(#REF!,"AAAAAD91774=")</f>
        <v>#REF!</v>
      </c>
      <c r="GJ11" s="66" t="str">
        <f>AND(#REF!,"AAAAAD91778=")</f>
        <v>#REF!</v>
      </c>
      <c r="GK11" s="66" t="str">
        <f>AND(#REF!,"AAAAAD9178A=")</f>
        <v>#REF!</v>
      </c>
      <c r="GL11" s="66" t="str">
        <f>AND(#REF!,"AAAAAD9178E=")</f>
        <v>#REF!</v>
      </c>
      <c r="GM11" s="66" t="str">
        <f>AND(#REF!,"AAAAAD9178I=")</f>
        <v>#REF!</v>
      </c>
      <c r="GN11" s="66" t="str">
        <f>AND(#REF!,"AAAAAD9178M=")</f>
        <v>#REF!</v>
      </c>
      <c r="GO11" s="66" t="str">
        <f>AND(#REF!,"AAAAAD9178Q=")</f>
        <v>#REF!</v>
      </c>
      <c r="GP11" s="66" t="str">
        <f>AND(#REF!,"AAAAAD9178U=")</f>
        <v>#REF!</v>
      </c>
      <c r="GQ11" s="66" t="str">
        <f>AND(#REF!,"AAAAAD9178Y=")</f>
        <v>#REF!</v>
      </c>
      <c r="GR11" s="66" t="str">
        <f>AND(#REF!,"AAAAAD9178c=")</f>
        <v>#REF!</v>
      </c>
      <c r="GS11" s="66" t="str">
        <f>AND(#REF!,"AAAAAD9178g=")</f>
        <v>#REF!</v>
      </c>
      <c r="GT11" s="66" t="str">
        <f>AND(#REF!,"AAAAAD9178k=")</f>
        <v>#REF!</v>
      </c>
      <c r="GU11" s="66" t="str">
        <f>AND(#REF!,"AAAAAD9178o=")</f>
        <v>#REF!</v>
      </c>
      <c r="GV11" s="66" t="str">
        <f>AND(#REF!,"AAAAAD9178s=")</f>
        <v>#REF!</v>
      </c>
      <c r="GW11" s="66" t="str">
        <f>AND(#REF!,"AAAAAD9178w=")</f>
        <v>#REF!</v>
      </c>
      <c r="GX11" s="66" t="str">
        <f>AND(#REF!,"AAAAAD91780=")</f>
        <v>#REF!</v>
      </c>
      <c r="GY11" s="66" t="str">
        <f>AND(#REF!,"AAAAAD91784=")</f>
        <v>#REF!</v>
      </c>
      <c r="GZ11" s="66" t="str">
        <f>AND(#REF!,"AAAAAD91788=")</f>
        <v>#REF!</v>
      </c>
      <c r="HA11" s="66" t="str">
        <f>AND(#REF!,"AAAAAD9179A=")</f>
        <v>#REF!</v>
      </c>
      <c r="HB11" s="66" t="str">
        <f>AND(#REF!,"AAAAAD9179E=")</f>
        <v>#REF!</v>
      </c>
      <c r="HC11" s="66" t="str">
        <f>AND(#REF!,"AAAAAD9179I=")</f>
        <v>#REF!</v>
      </c>
      <c r="HD11" s="66" t="str">
        <f>AND(#REF!,"AAAAAD9179M=")</f>
        <v>#REF!</v>
      </c>
      <c r="HE11" s="66" t="str">
        <f>AND(#REF!,"AAAAAD9179Q=")</f>
        <v>#REF!</v>
      </c>
      <c r="HF11" s="66" t="str">
        <f>AND(#REF!,"AAAAAD9179U=")</f>
        <v>#REF!</v>
      </c>
      <c r="HG11" s="66" t="str">
        <f>AND(#REF!,"AAAAAD9179Y=")</f>
        <v>#REF!</v>
      </c>
      <c r="HH11" s="66" t="str">
        <f>AND(#REF!,"AAAAAD9179c=")</f>
        <v>#REF!</v>
      </c>
      <c r="HI11" s="66" t="str">
        <f>AND(#REF!,"AAAAAD9179g=")</f>
        <v>#REF!</v>
      </c>
      <c r="HJ11" s="66" t="str">
        <f>AND(#REF!,"AAAAAD9179k=")</f>
        <v>#REF!</v>
      </c>
      <c r="HK11" s="66" t="str">
        <f>AND(#REF!,"AAAAAD9179o=")</f>
        <v>#REF!</v>
      </c>
      <c r="HL11" s="66" t="str">
        <f>AND(#REF!,"AAAAAD9179s=")</f>
        <v>#REF!</v>
      </c>
      <c r="HM11" s="66" t="str">
        <f>AND(#REF!,"AAAAAD9179w=")</f>
        <v>#REF!</v>
      </c>
      <c r="HN11" s="66" t="str">
        <f>AND(#REF!,"AAAAAD91790=")</f>
        <v>#REF!</v>
      </c>
      <c r="HO11" s="66" t="str">
        <f>AND(#REF!,"AAAAAD91794=")</f>
        <v>#REF!</v>
      </c>
      <c r="HP11" s="66" t="str">
        <f>AND(#REF!,"AAAAAD91798=")</f>
        <v>#REF!</v>
      </c>
      <c r="HQ11" s="66" t="str">
        <f>AND(#REF!,"AAAAAD917+A=")</f>
        <v>#REF!</v>
      </c>
      <c r="HR11" s="66" t="str">
        <f>AND(#REF!,"AAAAAD917+E=")</f>
        <v>#REF!</v>
      </c>
      <c r="HS11" s="66" t="str">
        <f>AND(#REF!,"AAAAAD917+I=")</f>
        <v>#REF!</v>
      </c>
      <c r="HT11" s="66" t="str">
        <f>AND(#REF!,"AAAAAD917+M=")</f>
        <v>#REF!</v>
      </c>
      <c r="HU11" s="66" t="str">
        <f>AND(#REF!,"AAAAAD917+Q=")</f>
        <v>#REF!</v>
      </c>
      <c r="HV11" s="66" t="str">
        <f>AND(#REF!,"AAAAAD917+U=")</f>
        <v>#REF!</v>
      </c>
      <c r="HW11" s="66" t="str">
        <f>IF(#REF!,"AAAAAD917+Y=",0)</f>
        <v>#REF!</v>
      </c>
      <c r="HX11" s="66" t="str">
        <f>AND(#REF!,"AAAAAD917+c=")</f>
        <v>#REF!</v>
      </c>
      <c r="HY11" s="66" t="str">
        <f>AND(#REF!,"AAAAAD917+g=")</f>
        <v>#REF!</v>
      </c>
      <c r="HZ11" s="66" t="str">
        <f>AND(#REF!,"AAAAAD917+k=")</f>
        <v>#REF!</v>
      </c>
      <c r="IA11" s="66" t="str">
        <f>AND(#REF!,"AAAAAD917+o=")</f>
        <v>#REF!</v>
      </c>
      <c r="IB11" s="66" t="str">
        <f>AND(#REF!,"AAAAAD917+s=")</f>
        <v>#REF!</v>
      </c>
      <c r="IC11" s="66" t="str">
        <f>AND(#REF!,"AAAAAD917+w=")</f>
        <v>#REF!</v>
      </c>
      <c r="ID11" s="66" t="str">
        <f>AND(#REF!,"AAAAAD917+0=")</f>
        <v>#REF!</v>
      </c>
      <c r="IE11" s="66" t="str">
        <f>AND(#REF!,"AAAAAD917+4=")</f>
        <v>#REF!</v>
      </c>
      <c r="IF11" s="66" t="str">
        <f>AND(#REF!,"AAAAAD917+8=")</f>
        <v>#REF!</v>
      </c>
      <c r="IG11" s="66" t="str">
        <f>AND(#REF!,"AAAAAD917/A=")</f>
        <v>#REF!</v>
      </c>
      <c r="IH11" s="66" t="str">
        <f>AND(#REF!,"AAAAAD917/E=")</f>
        <v>#REF!</v>
      </c>
      <c r="II11" s="66" t="str">
        <f>AND(#REF!,"AAAAAD917/I=")</f>
        <v>#REF!</v>
      </c>
      <c r="IJ11" s="66" t="str">
        <f>AND(#REF!,"AAAAAD917/M=")</f>
        <v>#REF!</v>
      </c>
      <c r="IK11" s="66" t="str">
        <f>AND(#REF!,"AAAAAD917/Q=")</f>
        <v>#REF!</v>
      </c>
      <c r="IL11" s="66" t="str">
        <f>AND(#REF!,"AAAAAD917/U=")</f>
        <v>#REF!</v>
      </c>
      <c r="IM11" s="66" t="str">
        <f>AND(#REF!,"AAAAAD917/Y=")</f>
        <v>#REF!</v>
      </c>
      <c r="IN11" s="66" t="str">
        <f>AND(#REF!,"AAAAAD917/c=")</f>
        <v>#REF!</v>
      </c>
      <c r="IO11" s="66" t="str">
        <f>AND(#REF!,"AAAAAD917/g=")</f>
        <v>#REF!</v>
      </c>
      <c r="IP11" s="66" t="str">
        <f>AND(#REF!,"AAAAAD917/k=")</f>
        <v>#REF!</v>
      </c>
      <c r="IQ11" s="66" t="str">
        <f>AND(#REF!,"AAAAAD917/o=")</f>
        <v>#REF!</v>
      </c>
      <c r="IR11" s="66" t="str">
        <f>AND(#REF!,"AAAAAD917/s=")</f>
        <v>#REF!</v>
      </c>
      <c r="IS11" s="66" t="str">
        <f>AND(#REF!,"AAAAAD917/w=")</f>
        <v>#REF!</v>
      </c>
      <c r="IT11" s="66" t="str">
        <f>AND(#REF!,"AAAAAD917/0=")</f>
        <v>#REF!</v>
      </c>
      <c r="IU11" s="66" t="str">
        <f>AND(#REF!,"AAAAAD917/4=")</f>
        <v>#REF!</v>
      </c>
      <c r="IV11" s="66" t="str">
        <f>AND(#REF!,"AAAAAD917/8=")</f>
        <v>#REF!</v>
      </c>
    </row>
    <row r="12" ht="12.75" customHeight="1">
      <c r="A12" s="66" t="str">
        <f>AND(#REF!,"AAAAAF+dfwA=")</f>
        <v>#REF!</v>
      </c>
      <c r="B12" s="66" t="str">
        <f>AND(#REF!,"AAAAAF+dfwE=")</f>
        <v>#REF!</v>
      </c>
      <c r="C12" s="66" t="str">
        <f>AND(#REF!,"AAAAAF+dfwI=")</f>
        <v>#REF!</v>
      </c>
      <c r="D12" s="66" t="str">
        <f>AND(#REF!,"AAAAAF+dfwM=")</f>
        <v>#REF!</v>
      </c>
      <c r="E12" s="66" t="str">
        <f>AND(#REF!,"AAAAAF+dfwQ=")</f>
        <v>#REF!</v>
      </c>
      <c r="F12" s="66" t="str">
        <f>AND(#REF!,"AAAAAF+dfwU=")</f>
        <v>#REF!</v>
      </c>
      <c r="G12" s="66" t="str">
        <f>AND(#REF!,"AAAAAF+dfwY=")</f>
        <v>#REF!</v>
      </c>
      <c r="H12" s="66" t="str">
        <f>AND(#REF!,"AAAAAF+dfwc=")</f>
        <v>#REF!</v>
      </c>
      <c r="I12" s="66" t="str">
        <f>AND(#REF!,"AAAAAF+dfwg=")</f>
        <v>#REF!</v>
      </c>
      <c r="J12" s="66" t="str">
        <f>AND(#REF!,"AAAAAF+dfwk=")</f>
        <v>#REF!</v>
      </c>
      <c r="K12" s="66" t="str">
        <f>AND(#REF!,"AAAAAF+dfwo=")</f>
        <v>#REF!</v>
      </c>
      <c r="L12" s="66" t="str">
        <f>AND(#REF!,"AAAAAF+dfws=")</f>
        <v>#REF!</v>
      </c>
      <c r="M12" s="66" t="str">
        <f>AND(#REF!,"AAAAAF+dfww=")</f>
        <v>#REF!</v>
      </c>
      <c r="N12" s="66" t="str">
        <f>AND(#REF!,"AAAAAF+dfw0=")</f>
        <v>#REF!</v>
      </c>
      <c r="O12" s="66" t="str">
        <f>AND(#REF!,"AAAAAF+dfw4=")</f>
        <v>#REF!</v>
      </c>
      <c r="P12" s="66" t="str">
        <f>IF(#REF!,"AAAAAF+dfw8=",0)</f>
        <v>#REF!</v>
      </c>
      <c r="Q12" s="66" t="str">
        <f>AND(#REF!,"AAAAAF+dfxA=")</f>
        <v>#REF!</v>
      </c>
      <c r="R12" s="66" t="str">
        <f>AND(#REF!,"AAAAAF+dfxE=")</f>
        <v>#REF!</v>
      </c>
      <c r="S12" s="66" t="str">
        <f>AND(#REF!,"AAAAAF+dfxI=")</f>
        <v>#REF!</v>
      </c>
      <c r="T12" s="66" t="str">
        <f>AND(#REF!,"AAAAAF+dfxM=")</f>
        <v>#REF!</v>
      </c>
      <c r="U12" s="66" t="str">
        <f>AND(#REF!,"AAAAAF+dfxQ=")</f>
        <v>#REF!</v>
      </c>
      <c r="V12" s="66" t="str">
        <f>AND(#REF!,"AAAAAF+dfxU=")</f>
        <v>#REF!</v>
      </c>
      <c r="W12" s="66" t="str">
        <f>AND(#REF!,"AAAAAF+dfxY=")</f>
        <v>#REF!</v>
      </c>
      <c r="X12" s="66" t="str">
        <f>AND(#REF!,"AAAAAF+dfxc=")</f>
        <v>#REF!</v>
      </c>
      <c r="Y12" s="66" t="str">
        <f>AND(#REF!,"AAAAAF+dfxg=")</f>
        <v>#REF!</v>
      </c>
      <c r="Z12" s="66" t="str">
        <f>AND(#REF!,"AAAAAF+dfxk=")</f>
        <v>#REF!</v>
      </c>
      <c r="AA12" s="66" t="str">
        <f>AND(#REF!,"AAAAAF+dfxo=")</f>
        <v>#REF!</v>
      </c>
      <c r="AB12" s="66" t="str">
        <f>AND(#REF!,"AAAAAF+dfxs=")</f>
        <v>#REF!</v>
      </c>
      <c r="AC12" s="66" t="str">
        <f>AND(#REF!,"AAAAAF+dfxw=")</f>
        <v>#REF!</v>
      </c>
      <c r="AD12" s="66" t="str">
        <f>AND(#REF!,"AAAAAF+dfx0=")</f>
        <v>#REF!</v>
      </c>
      <c r="AE12" s="66" t="str">
        <f>AND(#REF!,"AAAAAF+dfx4=")</f>
        <v>#REF!</v>
      </c>
      <c r="AF12" s="66" t="str">
        <f>AND(#REF!,"AAAAAF+dfx8=")</f>
        <v>#REF!</v>
      </c>
      <c r="AG12" s="66" t="str">
        <f>AND(#REF!,"AAAAAF+dfyA=")</f>
        <v>#REF!</v>
      </c>
      <c r="AH12" s="66" t="str">
        <f>AND(#REF!,"AAAAAF+dfyE=")</f>
        <v>#REF!</v>
      </c>
      <c r="AI12" s="66" t="str">
        <f>AND(#REF!,"AAAAAF+dfyI=")</f>
        <v>#REF!</v>
      </c>
      <c r="AJ12" s="66" t="str">
        <f>AND(#REF!,"AAAAAF+dfyM=")</f>
        <v>#REF!</v>
      </c>
      <c r="AK12" s="66" t="str">
        <f>AND(#REF!,"AAAAAF+dfyQ=")</f>
        <v>#REF!</v>
      </c>
      <c r="AL12" s="66" t="str">
        <f>AND(#REF!,"AAAAAF+dfyU=")</f>
        <v>#REF!</v>
      </c>
      <c r="AM12" s="66" t="str">
        <f>AND(#REF!,"AAAAAF+dfyY=")</f>
        <v>#REF!</v>
      </c>
      <c r="AN12" s="66" t="str">
        <f>AND(#REF!,"AAAAAF+dfyc=")</f>
        <v>#REF!</v>
      </c>
      <c r="AO12" s="66" t="str">
        <f>AND(#REF!,"AAAAAF+dfyg=")</f>
        <v>#REF!</v>
      </c>
      <c r="AP12" s="66" t="str">
        <f>AND(#REF!,"AAAAAF+dfyk=")</f>
        <v>#REF!</v>
      </c>
      <c r="AQ12" s="66" t="str">
        <f>AND(#REF!,"AAAAAF+dfyo=")</f>
        <v>#REF!</v>
      </c>
      <c r="AR12" s="66" t="str">
        <f>AND(#REF!,"AAAAAF+dfys=")</f>
        <v>#REF!</v>
      </c>
      <c r="AS12" s="66" t="str">
        <f>AND(#REF!,"AAAAAF+dfyw=")</f>
        <v>#REF!</v>
      </c>
      <c r="AT12" s="66" t="str">
        <f>AND(#REF!,"AAAAAF+dfy0=")</f>
        <v>#REF!</v>
      </c>
      <c r="AU12" s="66" t="str">
        <f>AND(#REF!,"AAAAAF+dfy4=")</f>
        <v>#REF!</v>
      </c>
      <c r="AV12" s="66" t="str">
        <f>AND(#REF!,"AAAAAF+dfy8=")</f>
        <v>#REF!</v>
      </c>
      <c r="AW12" s="66" t="str">
        <f>AND(#REF!,"AAAAAF+dfzA=")</f>
        <v>#REF!</v>
      </c>
      <c r="AX12" s="66" t="str">
        <f>AND(#REF!,"AAAAAF+dfzE=")</f>
        <v>#REF!</v>
      </c>
      <c r="AY12" s="66" t="str">
        <f>AND(#REF!,"AAAAAF+dfzI=")</f>
        <v>#REF!</v>
      </c>
      <c r="AZ12" s="66" t="str">
        <f>AND(#REF!,"AAAAAF+dfzM=")</f>
        <v>#REF!</v>
      </c>
      <c r="BA12" s="66" t="str">
        <f>AND(#REF!,"AAAAAF+dfzQ=")</f>
        <v>#REF!</v>
      </c>
      <c r="BB12" s="66" t="str">
        <f>AND(#REF!,"AAAAAF+dfzU=")</f>
        <v>#REF!</v>
      </c>
      <c r="BC12" s="66" t="str">
        <f>AND(#REF!,"AAAAAF+dfzY=")</f>
        <v>#REF!</v>
      </c>
      <c r="BD12" s="66" t="str">
        <f>AND(#REF!,"AAAAAF+dfzc=")</f>
        <v>#REF!</v>
      </c>
      <c r="BE12" s="66" t="str">
        <f>IF(#REF!,"AAAAAF+dfzg=",0)</f>
        <v>#REF!</v>
      </c>
      <c r="BF12" s="66" t="str">
        <f>AND(#REF!,"AAAAAF+dfzk=")</f>
        <v>#REF!</v>
      </c>
      <c r="BG12" s="66" t="str">
        <f>AND(#REF!,"AAAAAF+dfzo=")</f>
        <v>#REF!</v>
      </c>
      <c r="BH12" s="66" t="str">
        <f>AND(#REF!,"AAAAAF+dfzs=")</f>
        <v>#REF!</v>
      </c>
      <c r="BI12" s="66" t="str">
        <f>AND(#REF!,"AAAAAF+dfzw=")</f>
        <v>#REF!</v>
      </c>
      <c r="BJ12" s="66" t="str">
        <f>AND(#REF!,"AAAAAF+dfz0=")</f>
        <v>#REF!</v>
      </c>
      <c r="BK12" s="66" t="str">
        <f>AND(#REF!,"AAAAAF+dfz4=")</f>
        <v>#REF!</v>
      </c>
      <c r="BL12" s="66" t="str">
        <f>AND(#REF!,"AAAAAF+dfz8=")</f>
        <v>#REF!</v>
      </c>
      <c r="BM12" s="66" t="str">
        <f>AND(#REF!,"AAAAAF+df0A=")</f>
        <v>#REF!</v>
      </c>
      <c r="BN12" s="66" t="str">
        <f>AND(#REF!,"AAAAAF+df0E=")</f>
        <v>#REF!</v>
      </c>
      <c r="BO12" s="66" t="str">
        <f>AND(#REF!,"AAAAAF+df0I=")</f>
        <v>#REF!</v>
      </c>
      <c r="BP12" s="66" t="str">
        <f>AND(#REF!,"AAAAAF+df0M=")</f>
        <v>#REF!</v>
      </c>
      <c r="BQ12" s="66" t="str">
        <f>AND(#REF!,"AAAAAF+df0Q=")</f>
        <v>#REF!</v>
      </c>
      <c r="BR12" s="66" t="str">
        <f>AND(#REF!,"AAAAAF+df0U=")</f>
        <v>#REF!</v>
      </c>
      <c r="BS12" s="66" t="str">
        <f>AND(#REF!,"AAAAAF+df0Y=")</f>
        <v>#REF!</v>
      </c>
      <c r="BT12" s="66" t="str">
        <f>AND(#REF!,"AAAAAF+df0c=")</f>
        <v>#REF!</v>
      </c>
      <c r="BU12" s="66" t="str">
        <f>AND(#REF!,"AAAAAF+df0g=")</f>
        <v>#REF!</v>
      </c>
      <c r="BV12" s="66" t="str">
        <f>AND(#REF!,"AAAAAF+df0k=")</f>
        <v>#REF!</v>
      </c>
      <c r="BW12" s="66" t="str">
        <f>AND(#REF!,"AAAAAF+df0o=")</f>
        <v>#REF!</v>
      </c>
      <c r="BX12" s="66" t="str">
        <f>AND(#REF!,"AAAAAF+df0s=")</f>
        <v>#REF!</v>
      </c>
      <c r="BY12" s="66" t="str">
        <f>AND(#REF!,"AAAAAF+df0w=")</f>
        <v>#REF!</v>
      </c>
      <c r="BZ12" s="66" t="str">
        <f>AND(#REF!,"AAAAAF+df00=")</f>
        <v>#REF!</v>
      </c>
      <c r="CA12" s="66" t="str">
        <f>AND(#REF!,"AAAAAF+df04=")</f>
        <v>#REF!</v>
      </c>
      <c r="CB12" s="66" t="str">
        <f>AND(#REF!,"AAAAAF+df08=")</f>
        <v>#REF!</v>
      </c>
      <c r="CC12" s="66" t="str">
        <f>AND(#REF!,"AAAAAF+df1A=")</f>
        <v>#REF!</v>
      </c>
      <c r="CD12" s="66" t="str">
        <f>AND(#REF!,"AAAAAF+df1E=")</f>
        <v>#REF!</v>
      </c>
      <c r="CE12" s="66" t="str">
        <f>AND(#REF!,"AAAAAF+df1I=")</f>
        <v>#REF!</v>
      </c>
      <c r="CF12" s="66" t="str">
        <f>AND(#REF!,"AAAAAF+df1M=")</f>
        <v>#REF!</v>
      </c>
      <c r="CG12" s="66" t="str">
        <f>AND(#REF!,"AAAAAF+df1Q=")</f>
        <v>#REF!</v>
      </c>
      <c r="CH12" s="66" t="str">
        <f>AND(#REF!,"AAAAAF+df1U=")</f>
        <v>#REF!</v>
      </c>
      <c r="CI12" s="66" t="str">
        <f>AND(#REF!,"AAAAAF+df1Y=")</f>
        <v>#REF!</v>
      </c>
      <c r="CJ12" s="66" t="str">
        <f>AND(#REF!,"AAAAAF+df1c=")</f>
        <v>#REF!</v>
      </c>
      <c r="CK12" s="66" t="str">
        <f>AND(#REF!,"AAAAAF+df1g=")</f>
        <v>#REF!</v>
      </c>
      <c r="CL12" s="66" t="str">
        <f>AND(#REF!,"AAAAAF+df1k=")</f>
        <v>#REF!</v>
      </c>
      <c r="CM12" s="66" t="str">
        <f>AND(#REF!,"AAAAAF+df1o=")</f>
        <v>#REF!</v>
      </c>
      <c r="CN12" s="66" t="str">
        <f>AND(#REF!,"AAAAAF+df1s=")</f>
        <v>#REF!</v>
      </c>
      <c r="CO12" s="66" t="str">
        <f>AND(#REF!,"AAAAAF+df1w=")</f>
        <v>#REF!</v>
      </c>
      <c r="CP12" s="66" t="str">
        <f>AND(#REF!,"AAAAAF+df10=")</f>
        <v>#REF!</v>
      </c>
      <c r="CQ12" s="66" t="str">
        <f>AND(#REF!,"AAAAAF+df14=")</f>
        <v>#REF!</v>
      </c>
      <c r="CR12" s="66" t="str">
        <f>AND(#REF!,"AAAAAF+df18=")</f>
        <v>#REF!</v>
      </c>
      <c r="CS12" s="66" t="str">
        <f>AND(#REF!,"AAAAAF+df2A=")</f>
        <v>#REF!</v>
      </c>
      <c r="CT12" s="66" t="str">
        <f>IF(#REF!,"AAAAAF+df2E=",0)</f>
        <v>#REF!</v>
      </c>
      <c r="CU12" s="66" t="str">
        <f>AND(#REF!,"AAAAAF+df2I=")</f>
        <v>#REF!</v>
      </c>
      <c r="CV12" s="66" t="str">
        <f>AND(#REF!,"AAAAAF+df2M=")</f>
        <v>#REF!</v>
      </c>
      <c r="CW12" s="66" t="str">
        <f>AND(#REF!,"AAAAAF+df2Q=")</f>
        <v>#REF!</v>
      </c>
      <c r="CX12" s="66" t="str">
        <f>AND(#REF!,"AAAAAF+df2U=")</f>
        <v>#REF!</v>
      </c>
      <c r="CY12" s="66" t="str">
        <f>AND(#REF!,"AAAAAF+df2Y=")</f>
        <v>#REF!</v>
      </c>
      <c r="CZ12" s="66" t="str">
        <f>AND(#REF!,"AAAAAF+df2c=")</f>
        <v>#REF!</v>
      </c>
      <c r="DA12" s="66" t="str">
        <f>AND(#REF!,"AAAAAF+df2g=")</f>
        <v>#REF!</v>
      </c>
      <c r="DB12" s="66" t="str">
        <f>AND(#REF!,"AAAAAF+df2k=")</f>
        <v>#REF!</v>
      </c>
      <c r="DC12" s="66" t="str">
        <f>AND(#REF!,"AAAAAF+df2o=")</f>
        <v>#REF!</v>
      </c>
      <c r="DD12" s="66" t="str">
        <f>AND(#REF!,"AAAAAF+df2s=")</f>
        <v>#REF!</v>
      </c>
      <c r="DE12" s="66" t="str">
        <f>AND(#REF!,"AAAAAF+df2w=")</f>
        <v>#REF!</v>
      </c>
      <c r="DF12" s="66" t="str">
        <f>AND(#REF!,"AAAAAF+df20=")</f>
        <v>#REF!</v>
      </c>
      <c r="DG12" s="66" t="str">
        <f>AND(#REF!,"AAAAAF+df24=")</f>
        <v>#REF!</v>
      </c>
      <c r="DH12" s="66" t="str">
        <f>AND(#REF!,"AAAAAF+df28=")</f>
        <v>#REF!</v>
      </c>
      <c r="DI12" s="66" t="str">
        <f>AND(#REF!,"AAAAAF+df3A=")</f>
        <v>#REF!</v>
      </c>
      <c r="DJ12" s="66" t="str">
        <f>AND(#REF!,"AAAAAF+df3E=")</f>
        <v>#REF!</v>
      </c>
      <c r="DK12" s="66" t="str">
        <f>AND(#REF!,"AAAAAF+df3I=")</f>
        <v>#REF!</v>
      </c>
      <c r="DL12" s="66" t="str">
        <f>AND(#REF!,"AAAAAF+df3M=")</f>
        <v>#REF!</v>
      </c>
      <c r="DM12" s="66" t="str">
        <f>AND(#REF!,"AAAAAF+df3Q=")</f>
        <v>#REF!</v>
      </c>
      <c r="DN12" s="66" t="str">
        <f>AND(#REF!,"AAAAAF+df3U=")</f>
        <v>#REF!</v>
      </c>
      <c r="DO12" s="66" t="str">
        <f>AND(#REF!,"AAAAAF+df3Y=")</f>
        <v>#REF!</v>
      </c>
      <c r="DP12" s="66" t="str">
        <f>AND(#REF!,"AAAAAF+df3c=")</f>
        <v>#REF!</v>
      </c>
      <c r="DQ12" s="66" t="str">
        <f>AND(#REF!,"AAAAAF+df3g=")</f>
        <v>#REF!</v>
      </c>
      <c r="DR12" s="66" t="str">
        <f>AND(#REF!,"AAAAAF+df3k=")</f>
        <v>#REF!</v>
      </c>
      <c r="DS12" s="66" t="str">
        <f>AND(#REF!,"AAAAAF+df3o=")</f>
        <v>#REF!</v>
      </c>
      <c r="DT12" s="66" t="str">
        <f>AND(#REF!,"AAAAAF+df3s=")</f>
        <v>#REF!</v>
      </c>
      <c r="DU12" s="66" t="str">
        <f>AND(#REF!,"AAAAAF+df3w=")</f>
        <v>#REF!</v>
      </c>
      <c r="DV12" s="66" t="str">
        <f>AND(#REF!,"AAAAAF+df30=")</f>
        <v>#REF!</v>
      </c>
      <c r="DW12" s="66" t="str">
        <f>AND(#REF!,"AAAAAF+df34=")</f>
        <v>#REF!</v>
      </c>
      <c r="DX12" s="66" t="str">
        <f>AND(#REF!,"AAAAAF+df38=")</f>
        <v>#REF!</v>
      </c>
      <c r="DY12" s="66" t="str">
        <f>AND(#REF!,"AAAAAF+df4A=")</f>
        <v>#REF!</v>
      </c>
      <c r="DZ12" s="66" t="str">
        <f>AND(#REF!,"AAAAAF+df4E=")</f>
        <v>#REF!</v>
      </c>
      <c r="EA12" s="66" t="str">
        <f>AND(#REF!,"AAAAAF+df4I=")</f>
        <v>#REF!</v>
      </c>
      <c r="EB12" s="66" t="str">
        <f>AND(#REF!,"AAAAAF+df4M=")</f>
        <v>#REF!</v>
      </c>
      <c r="EC12" s="66" t="str">
        <f>AND(#REF!,"AAAAAF+df4Q=")</f>
        <v>#REF!</v>
      </c>
      <c r="ED12" s="66" t="str">
        <f>AND(#REF!,"AAAAAF+df4U=")</f>
        <v>#REF!</v>
      </c>
      <c r="EE12" s="66" t="str">
        <f>AND(#REF!,"AAAAAF+df4Y=")</f>
        <v>#REF!</v>
      </c>
      <c r="EF12" s="66" t="str">
        <f>AND(#REF!,"AAAAAF+df4c=")</f>
        <v>#REF!</v>
      </c>
      <c r="EG12" s="66" t="str">
        <f>AND(#REF!,"AAAAAF+df4g=")</f>
        <v>#REF!</v>
      </c>
      <c r="EH12" s="66" t="str">
        <f>AND(#REF!,"AAAAAF+df4k=")</f>
        <v>#REF!</v>
      </c>
      <c r="EI12" s="66" t="str">
        <f>IF(#REF!,"AAAAAF+df4o=",0)</f>
        <v>#REF!</v>
      </c>
      <c r="EJ12" s="66" t="str">
        <f>AND(#REF!,"AAAAAF+df4s=")</f>
        <v>#REF!</v>
      </c>
      <c r="EK12" s="66" t="str">
        <f>AND(#REF!,"AAAAAF+df4w=")</f>
        <v>#REF!</v>
      </c>
      <c r="EL12" s="66" t="str">
        <f>AND(#REF!,"AAAAAF+df40=")</f>
        <v>#REF!</v>
      </c>
      <c r="EM12" s="66" t="str">
        <f>AND(#REF!,"AAAAAF+df44=")</f>
        <v>#REF!</v>
      </c>
      <c r="EN12" s="66" t="str">
        <f>AND(#REF!,"AAAAAF+df48=")</f>
        <v>#REF!</v>
      </c>
      <c r="EO12" s="66" t="str">
        <f>AND(#REF!,"AAAAAF+df5A=")</f>
        <v>#REF!</v>
      </c>
      <c r="EP12" s="66" t="str">
        <f>AND(#REF!,"AAAAAF+df5E=")</f>
        <v>#REF!</v>
      </c>
      <c r="EQ12" s="66" t="str">
        <f>AND(#REF!,"AAAAAF+df5I=")</f>
        <v>#REF!</v>
      </c>
      <c r="ER12" s="66" t="str">
        <f>AND(#REF!,"AAAAAF+df5M=")</f>
        <v>#REF!</v>
      </c>
      <c r="ES12" s="66" t="str">
        <f>AND(#REF!,"AAAAAF+df5Q=")</f>
        <v>#REF!</v>
      </c>
      <c r="ET12" s="66" t="str">
        <f>AND(#REF!,"AAAAAF+df5U=")</f>
        <v>#REF!</v>
      </c>
      <c r="EU12" s="66" t="str">
        <f>AND(#REF!,"AAAAAF+df5Y=")</f>
        <v>#REF!</v>
      </c>
      <c r="EV12" s="66" t="str">
        <f>AND(#REF!,"AAAAAF+df5c=")</f>
        <v>#REF!</v>
      </c>
      <c r="EW12" s="66" t="str">
        <f>AND(#REF!,"AAAAAF+df5g=")</f>
        <v>#REF!</v>
      </c>
      <c r="EX12" s="66" t="str">
        <f>AND(#REF!,"AAAAAF+df5k=")</f>
        <v>#REF!</v>
      </c>
      <c r="EY12" s="66" t="str">
        <f>AND(#REF!,"AAAAAF+df5o=")</f>
        <v>#REF!</v>
      </c>
      <c r="EZ12" s="66" t="str">
        <f>AND(#REF!,"AAAAAF+df5s=")</f>
        <v>#REF!</v>
      </c>
      <c r="FA12" s="66" t="str">
        <f>AND(#REF!,"AAAAAF+df5w=")</f>
        <v>#REF!</v>
      </c>
      <c r="FB12" s="66" t="str">
        <f>AND(#REF!,"AAAAAF+df50=")</f>
        <v>#REF!</v>
      </c>
      <c r="FC12" s="66" t="str">
        <f>AND(#REF!,"AAAAAF+df54=")</f>
        <v>#REF!</v>
      </c>
      <c r="FD12" s="66" t="str">
        <f>AND(#REF!,"AAAAAF+df58=")</f>
        <v>#REF!</v>
      </c>
      <c r="FE12" s="66" t="str">
        <f>AND(#REF!,"AAAAAF+df6A=")</f>
        <v>#REF!</v>
      </c>
      <c r="FF12" s="66" t="str">
        <f>AND(#REF!,"AAAAAF+df6E=")</f>
        <v>#REF!</v>
      </c>
      <c r="FG12" s="66" t="str">
        <f>AND(#REF!,"AAAAAF+df6I=")</f>
        <v>#REF!</v>
      </c>
      <c r="FH12" s="66" t="str">
        <f>AND(#REF!,"AAAAAF+df6M=")</f>
        <v>#REF!</v>
      </c>
      <c r="FI12" s="66" t="str">
        <f>AND(#REF!,"AAAAAF+df6Q=")</f>
        <v>#REF!</v>
      </c>
      <c r="FJ12" s="66" t="str">
        <f>AND(#REF!,"AAAAAF+df6U=")</f>
        <v>#REF!</v>
      </c>
      <c r="FK12" s="66" t="str">
        <f>AND(#REF!,"AAAAAF+df6Y=")</f>
        <v>#REF!</v>
      </c>
      <c r="FL12" s="66" t="str">
        <f>AND(#REF!,"AAAAAF+df6c=")</f>
        <v>#REF!</v>
      </c>
      <c r="FM12" s="66" t="str">
        <f>AND(#REF!,"AAAAAF+df6g=")</f>
        <v>#REF!</v>
      </c>
      <c r="FN12" s="66" t="str">
        <f>AND(#REF!,"AAAAAF+df6k=")</f>
        <v>#REF!</v>
      </c>
      <c r="FO12" s="66" t="str">
        <f>AND(#REF!,"AAAAAF+df6o=")</f>
        <v>#REF!</v>
      </c>
      <c r="FP12" s="66" t="str">
        <f>AND(#REF!,"AAAAAF+df6s=")</f>
        <v>#REF!</v>
      </c>
      <c r="FQ12" s="66" t="str">
        <f>AND(#REF!,"AAAAAF+df6w=")</f>
        <v>#REF!</v>
      </c>
      <c r="FR12" s="66" t="str">
        <f>AND(#REF!,"AAAAAF+df60=")</f>
        <v>#REF!</v>
      </c>
      <c r="FS12" s="66" t="str">
        <f>AND(#REF!,"AAAAAF+df64=")</f>
        <v>#REF!</v>
      </c>
      <c r="FT12" s="66" t="str">
        <f>AND(#REF!,"AAAAAF+df68=")</f>
        <v>#REF!</v>
      </c>
      <c r="FU12" s="66" t="str">
        <f>AND(#REF!,"AAAAAF+df7A=")</f>
        <v>#REF!</v>
      </c>
      <c r="FV12" s="66" t="str">
        <f>AND(#REF!,"AAAAAF+df7E=")</f>
        <v>#REF!</v>
      </c>
      <c r="FW12" s="66" t="str">
        <f>AND(#REF!,"AAAAAF+df7I=")</f>
        <v>#REF!</v>
      </c>
      <c r="FX12" s="66" t="str">
        <f>IF(#REF!,"AAAAAF+df7M=",0)</f>
        <v>#REF!</v>
      </c>
      <c r="FY12" s="66" t="str">
        <f>AND(#REF!,"AAAAAF+df7Q=")</f>
        <v>#REF!</v>
      </c>
      <c r="FZ12" s="66" t="str">
        <f>AND(#REF!,"AAAAAF+df7U=")</f>
        <v>#REF!</v>
      </c>
      <c r="GA12" s="66" t="str">
        <f>AND(#REF!,"AAAAAF+df7Y=")</f>
        <v>#REF!</v>
      </c>
      <c r="GB12" s="66" t="str">
        <f>AND(#REF!,"AAAAAF+df7c=")</f>
        <v>#REF!</v>
      </c>
      <c r="GC12" s="66" t="str">
        <f>AND(#REF!,"AAAAAF+df7g=")</f>
        <v>#REF!</v>
      </c>
      <c r="GD12" s="66" t="str">
        <f>AND(#REF!,"AAAAAF+df7k=")</f>
        <v>#REF!</v>
      </c>
      <c r="GE12" s="66" t="str">
        <f>AND(#REF!,"AAAAAF+df7o=")</f>
        <v>#REF!</v>
      </c>
      <c r="GF12" s="66" t="str">
        <f>AND(#REF!,"AAAAAF+df7s=")</f>
        <v>#REF!</v>
      </c>
      <c r="GG12" s="66" t="str">
        <f>AND(#REF!,"AAAAAF+df7w=")</f>
        <v>#REF!</v>
      </c>
      <c r="GH12" s="66" t="str">
        <f>AND(#REF!,"AAAAAF+df70=")</f>
        <v>#REF!</v>
      </c>
      <c r="GI12" s="66" t="str">
        <f>AND(#REF!,"AAAAAF+df74=")</f>
        <v>#REF!</v>
      </c>
      <c r="GJ12" s="66" t="str">
        <f>AND(#REF!,"AAAAAF+df78=")</f>
        <v>#REF!</v>
      </c>
      <c r="GK12" s="66" t="str">
        <f>AND(#REF!,"AAAAAF+df8A=")</f>
        <v>#REF!</v>
      </c>
      <c r="GL12" s="66" t="str">
        <f>AND(#REF!,"AAAAAF+df8E=")</f>
        <v>#REF!</v>
      </c>
      <c r="GM12" s="66" t="str">
        <f>AND(#REF!,"AAAAAF+df8I=")</f>
        <v>#REF!</v>
      </c>
      <c r="GN12" s="66" t="str">
        <f>AND(#REF!,"AAAAAF+df8M=")</f>
        <v>#REF!</v>
      </c>
      <c r="GO12" s="66" t="str">
        <f>AND(#REF!,"AAAAAF+df8Q=")</f>
        <v>#REF!</v>
      </c>
      <c r="GP12" s="66" t="str">
        <f>AND(#REF!,"AAAAAF+df8U=")</f>
        <v>#REF!</v>
      </c>
      <c r="GQ12" s="66" t="str">
        <f>AND(#REF!,"AAAAAF+df8Y=")</f>
        <v>#REF!</v>
      </c>
      <c r="GR12" s="66" t="str">
        <f>AND(#REF!,"AAAAAF+df8c=")</f>
        <v>#REF!</v>
      </c>
      <c r="GS12" s="66" t="str">
        <f>AND(#REF!,"AAAAAF+df8g=")</f>
        <v>#REF!</v>
      </c>
      <c r="GT12" s="66" t="str">
        <f>AND(#REF!,"AAAAAF+df8k=")</f>
        <v>#REF!</v>
      </c>
      <c r="GU12" s="66" t="str">
        <f>AND(#REF!,"AAAAAF+df8o=")</f>
        <v>#REF!</v>
      </c>
      <c r="GV12" s="66" t="str">
        <f>AND(#REF!,"AAAAAF+df8s=")</f>
        <v>#REF!</v>
      </c>
      <c r="GW12" s="66" t="str">
        <f>AND(#REF!,"AAAAAF+df8w=")</f>
        <v>#REF!</v>
      </c>
      <c r="GX12" s="66" t="str">
        <f>AND(#REF!,"AAAAAF+df80=")</f>
        <v>#REF!</v>
      </c>
      <c r="GY12" s="66" t="str">
        <f>AND(#REF!,"AAAAAF+df84=")</f>
        <v>#REF!</v>
      </c>
      <c r="GZ12" s="66" t="str">
        <f>AND(#REF!,"AAAAAF+df88=")</f>
        <v>#REF!</v>
      </c>
      <c r="HA12" s="66" t="str">
        <f>AND(#REF!,"AAAAAF+df9A=")</f>
        <v>#REF!</v>
      </c>
      <c r="HB12" s="66" t="str">
        <f>AND(#REF!,"AAAAAF+df9E=")</f>
        <v>#REF!</v>
      </c>
      <c r="HC12" s="66" t="str">
        <f>AND(#REF!,"AAAAAF+df9I=")</f>
        <v>#REF!</v>
      </c>
      <c r="HD12" s="66" t="str">
        <f>AND(#REF!,"AAAAAF+df9M=")</f>
        <v>#REF!</v>
      </c>
      <c r="HE12" s="66" t="str">
        <f>AND(#REF!,"AAAAAF+df9Q=")</f>
        <v>#REF!</v>
      </c>
      <c r="HF12" s="66" t="str">
        <f>AND(#REF!,"AAAAAF+df9U=")</f>
        <v>#REF!</v>
      </c>
      <c r="HG12" s="66" t="str">
        <f>AND(#REF!,"AAAAAF+df9Y=")</f>
        <v>#REF!</v>
      </c>
      <c r="HH12" s="66" t="str">
        <f>AND(#REF!,"AAAAAF+df9c=")</f>
        <v>#REF!</v>
      </c>
      <c r="HI12" s="66" t="str">
        <f>AND(#REF!,"AAAAAF+df9g=")</f>
        <v>#REF!</v>
      </c>
      <c r="HJ12" s="66" t="str">
        <f>AND(#REF!,"AAAAAF+df9k=")</f>
        <v>#REF!</v>
      </c>
      <c r="HK12" s="66" t="str">
        <f>AND(#REF!,"AAAAAF+df9o=")</f>
        <v>#REF!</v>
      </c>
      <c r="HL12" s="66" t="str">
        <f>AND(#REF!,"AAAAAF+df9s=")</f>
        <v>#REF!</v>
      </c>
      <c r="HM12" s="66" t="str">
        <f>IF(#REF!,"AAAAAF+df9w=",0)</f>
        <v>#REF!</v>
      </c>
      <c r="HN12" s="66" t="str">
        <f>AND(#REF!,"AAAAAF+df90=")</f>
        <v>#REF!</v>
      </c>
      <c r="HO12" s="66" t="str">
        <f>AND(#REF!,"AAAAAF+df94=")</f>
        <v>#REF!</v>
      </c>
      <c r="HP12" s="66" t="str">
        <f>AND(#REF!,"AAAAAF+df98=")</f>
        <v>#REF!</v>
      </c>
      <c r="HQ12" s="66" t="str">
        <f>AND(#REF!,"AAAAAF+df+A=")</f>
        <v>#REF!</v>
      </c>
      <c r="HR12" s="66" t="str">
        <f>AND(#REF!,"AAAAAF+df+E=")</f>
        <v>#REF!</v>
      </c>
      <c r="HS12" s="66" t="str">
        <f>AND(#REF!,"AAAAAF+df+I=")</f>
        <v>#REF!</v>
      </c>
      <c r="HT12" s="66" t="str">
        <f>AND(#REF!,"AAAAAF+df+M=")</f>
        <v>#REF!</v>
      </c>
      <c r="HU12" s="66" t="str">
        <f>AND(#REF!,"AAAAAF+df+Q=")</f>
        <v>#REF!</v>
      </c>
      <c r="HV12" s="66" t="str">
        <f>AND(#REF!,"AAAAAF+df+U=")</f>
        <v>#REF!</v>
      </c>
      <c r="HW12" s="66" t="str">
        <f>AND(#REF!,"AAAAAF+df+Y=")</f>
        <v>#REF!</v>
      </c>
      <c r="HX12" s="66" t="str">
        <f>AND(#REF!,"AAAAAF+df+c=")</f>
        <v>#REF!</v>
      </c>
      <c r="HY12" s="66" t="str">
        <f>AND(#REF!,"AAAAAF+df+g=")</f>
        <v>#REF!</v>
      </c>
      <c r="HZ12" s="66" t="str">
        <f>AND(#REF!,"AAAAAF+df+k=")</f>
        <v>#REF!</v>
      </c>
      <c r="IA12" s="66" t="str">
        <f>AND(#REF!,"AAAAAF+df+o=")</f>
        <v>#REF!</v>
      </c>
      <c r="IB12" s="66" t="str">
        <f>AND(#REF!,"AAAAAF+df+s=")</f>
        <v>#REF!</v>
      </c>
      <c r="IC12" s="66" t="str">
        <f>AND(#REF!,"AAAAAF+df+w=")</f>
        <v>#REF!</v>
      </c>
      <c r="ID12" s="66" t="str">
        <f>AND(#REF!,"AAAAAF+df+0=")</f>
        <v>#REF!</v>
      </c>
      <c r="IE12" s="66" t="str">
        <f>AND(#REF!,"AAAAAF+df+4=")</f>
        <v>#REF!</v>
      </c>
      <c r="IF12" s="66" t="str">
        <f>AND(#REF!,"AAAAAF+df+8=")</f>
        <v>#REF!</v>
      </c>
      <c r="IG12" s="66" t="str">
        <f>AND(#REF!,"AAAAAF+df/A=")</f>
        <v>#REF!</v>
      </c>
      <c r="IH12" s="66" t="str">
        <f>AND(#REF!,"AAAAAF+df/E=")</f>
        <v>#REF!</v>
      </c>
      <c r="II12" s="66" t="str">
        <f>AND(#REF!,"AAAAAF+df/I=")</f>
        <v>#REF!</v>
      </c>
      <c r="IJ12" s="66" t="str">
        <f>AND(#REF!,"AAAAAF+df/M=")</f>
        <v>#REF!</v>
      </c>
      <c r="IK12" s="66" t="str">
        <f>AND(#REF!,"AAAAAF+df/Q=")</f>
        <v>#REF!</v>
      </c>
      <c r="IL12" s="66" t="str">
        <f>AND(#REF!,"AAAAAF+df/U=")</f>
        <v>#REF!</v>
      </c>
      <c r="IM12" s="66" t="str">
        <f>AND(#REF!,"AAAAAF+df/Y=")</f>
        <v>#REF!</v>
      </c>
      <c r="IN12" s="66" t="str">
        <f>AND(#REF!,"AAAAAF+df/c=")</f>
        <v>#REF!</v>
      </c>
      <c r="IO12" s="66" t="str">
        <f>AND(#REF!,"AAAAAF+df/g=")</f>
        <v>#REF!</v>
      </c>
      <c r="IP12" s="66" t="str">
        <f>AND(#REF!,"AAAAAF+df/k=")</f>
        <v>#REF!</v>
      </c>
      <c r="IQ12" s="66" t="str">
        <f>AND(#REF!,"AAAAAF+df/o=")</f>
        <v>#REF!</v>
      </c>
      <c r="IR12" s="66" t="str">
        <f>AND(#REF!,"AAAAAF+df/s=")</f>
        <v>#REF!</v>
      </c>
      <c r="IS12" s="66" t="str">
        <f>AND(#REF!,"AAAAAF+df/w=")</f>
        <v>#REF!</v>
      </c>
      <c r="IT12" s="66" t="str">
        <f>AND(#REF!,"AAAAAF+df/0=")</f>
        <v>#REF!</v>
      </c>
      <c r="IU12" s="66" t="str">
        <f>AND(#REF!,"AAAAAF+df/4=")</f>
        <v>#REF!</v>
      </c>
      <c r="IV12" s="66" t="str">
        <f>AND(#REF!,"AAAAAF+df/8=")</f>
        <v>#REF!</v>
      </c>
    </row>
    <row r="13" ht="12.75" customHeight="1">
      <c r="A13" s="66" t="str">
        <f>AND(#REF!,"AAAAAC//3wA=")</f>
        <v>#REF!</v>
      </c>
      <c r="B13" s="66" t="str">
        <f>AND(#REF!,"AAAAAC//3wE=")</f>
        <v>#REF!</v>
      </c>
      <c r="C13" s="66" t="str">
        <f>AND(#REF!,"AAAAAC//3wI=")</f>
        <v>#REF!</v>
      </c>
      <c r="D13" s="66" t="str">
        <f>AND(#REF!,"AAAAAC//3wM=")</f>
        <v>#REF!</v>
      </c>
      <c r="E13" s="66" t="str">
        <f>AND(#REF!,"AAAAAC//3wQ=")</f>
        <v>#REF!</v>
      </c>
      <c r="F13" s="66" t="str">
        <f>IF(#REF!,"AAAAAC//3wU=",0)</f>
        <v>#REF!</v>
      </c>
      <c r="G13" s="66" t="str">
        <f>AND(#REF!,"AAAAAC//3wY=")</f>
        <v>#REF!</v>
      </c>
      <c r="H13" s="66" t="str">
        <f>AND(#REF!,"AAAAAC//3wc=")</f>
        <v>#REF!</v>
      </c>
      <c r="I13" s="66" t="str">
        <f>AND(#REF!,"AAAAAC//3wg=")</f>
        <v>#REF!</v>
      </c>
      <c r="J13" s="66" t="str">
        <f>AND(#REF!,"AAAAAC//3wk=")</f>
        <v>#REF!</v>
      </c>
      <c r="K13" s="66" t="str">
        <f>AND(#REF!,"AAAAAC//3wo=")</f>
        <v>#REF!</v>
      </c>
      <c r="L13" s="66" t="str">
        <f>AND(#REF!,"AAAAAC//3ws=")</f>
        <v>#REF!</v>
      </c>
      <c r="M13" s="66" t="str">
        <f>AND(#REF!,"AAAAAC//3ww=")</f>
        <v>#REF!</v>
      </c>
      <c r="N13" s="66" t="str">
        <f>AND(#REF!,"AAAAAC//3w0=")</f>
        <v>#REF!</v>
      </c>
      <c r="O13" s="66" t="str">
        <f>AND(#REF!,"AAAAAC//3w4=")</f>
        <v>#REF!</v>
      </c>
      <c r="P13" s="66" t="str">
        <f>AND(#REF!,"AAAAAC//3w8=")</f>
        <v>#REF!</v>
      </c>
      <c r="Q13" s="66" t="str">
        <f>AND(#REF!,"AAAAAC//3xA=")</f>
        <v>#REF!</v>
      </c>
      <c r="R13" s="66" t="str">
        <f>AND(#REF!,"AAAAAC//3xE=")</f>
        <v>#REF!</v>
      </c>
      <c r="S13" s="66" t="str">
        <f>AND(#REF!,"AAAAAC//3xI=")</f>
        <v>#REF!</v>
      </c>
      <c r="T13" s="66" t="str">
        <f>AND(#REF!,"AAAAAC//3xM=")</f>
        <v>#REF!</v>
      </c>
      <c r="U13" s="66" t="str">
        <f>AND(#REF!,"AAAAAC//3xQ=")</f>
        <v>#REF!</v>
      </c>
      <c r="V13" s="66" t="str">
        <f>AND(#REF!,"AAAAAC//3xU=")</f>
        <v>#REF!</v>
      </c>
      <c r="W13" s="66" t="str">
        <f>AND(#REF!,"AAAAAC//3xY=")</f>
        <v>#REF!</v>
      </c>
      <c r="X13" s="66" t="str">
        <f>AND(#REF!,"AAAAAC//3xc=")</f>
        <v>#REF!</v>
      </c>
      <c r="Y13" s="66" t="str">
        <f>AND(#REF!,"AAAAAC//3xg=")</f>
        <v>#REF!</v>
      </c>
      <c r="Z13" s="66" t="str">
        <f>AND(#REF!,"AAAAAC//3xk=")</f>
        <v>#REF!</v>
      </c>
      <c r="AA13" s="66" t="str">
        <f>AND(#REF!,"AAAAAC//3xo=")</f>
        <v>#REF!</v>
      </c>
      <c r="AB13" s="66" t="str">
        <f>AND(#REF!,"AAAAAC//3xs=")</f>
        <v>#REF!</v>
      </c>
      <c r="AC13" s="66" t="str">
        <f>AND(#REF!,"AAAAAC//3xw=")</f>
        <v>#REF!</v>
      </c>
      <c r="AD13" s="66" t="str">
        <f>AND(#REF!,"AAAAAC//3x0=")</f>
        <v>#REF!</v>
      </c>
      <c r="AE13" s="66" t="str">
        <f>AND(#REF!,"AAAAAC//3x4=")</f>
        <v>#REF!</v>
      </c>
      <c r="AF13" s="66" t="str">
        <f>AND(#REF!,"AAAAAC//3x8=")</f>
        <v>#REF!</v>
      </c>
      <c r="AG13" s="66" t="str">
        <f>AND(#REF!,"AAAAAC//3yA=")</f>
        <v>#REF!</v>
      </c>
      <c r="AH13" s="66" t="str">
        <f>AND(#REF!,"AAAAAC//3yE=")</f>
        <v>#REF!</v>
      </c>
      <c r="AI13" s="66" t="str">
        <f>AND(#REF!,"AAAAAC//3yI=")</f>
        <v>#REF!</v>
      </c>
      <c r="AJ13" s="66" t="str">
        <f>AND(#REF!,"AAAAAC//3yM=")</f>
        <v>#REF!</v>
      </c>
      <c r="AK13" s="66" t="str">
        <f>AND(#REF!,"AAAAAC//3yQ=")</f>
        <v>#REF!</v>
      </c>
      <c r="AL13" s="66" t="str">
        <f>AND(#REF!,"AAAAAC//3yU=")</f>
        <v>#REF!</v>
      </c>
      <c r="AM13" s="66" t="str">
        <f>AND(#REF!,"AAAAAC//3yY=")</f>
        <v>#REF!</v>
      </c>
      <c r="AN13" s="66" t="str">
        <f>AND(#REF!,"AAAAAC//3yc=")</f>
        <v>#REF!</v>
      </c>
      <c r="AO13" s="66" t="str">
        <f>AND(#REF!,"AAAAAC//3yg=")</f>
        <v>#REF!</v>
      </c>
      <c r="AP13" s="66" t="str">
        <f>AND(#REF!,"AAAAAC//3yk=")</f>
        <v>#REF!</v>
      </c>
      <c r="AQ13" s="66" t="str">
        <f>AND(#REF!,"AAAAAC//3yo=")</f>
        <v>#REF!</v>
      </c>
      <c r="AR13" s="66" t="str">
        <f>AND(#REF!,"AAAAAC//3ys=")</f>
        <v>#REF!</v>
      </c>
      <c r="AS13" s="66" t="str">
        <f>AND(#REF!,"AAAAAC//3yw=")</f>
        <v>#REF!</v>
      </c>
      <c r="AT13" s="66" t="str">
        <f>AND(#REF!,"AAAAAC//3y0=")</f>
        <v>#REF!</v>
      </c>
      <c r="AU13" s="66" t="str">
        <f>IF(#REF!,"AAAAAC//3y4=",0)</f>
        <v>#REF!</v>
      </c>
      <c r="AV13" s="66" t="str">
        <f>AND(#REF!,"AAAAAC//3y8=")</f>
        <v>#REF!</v>
      </c>
      <c r="AW13" s="66" t="str">
        <f>AND(#REF!,"AAAAAC//3zA=")</f>
        <v>#REF!</v>
      </c>
      <c r="AX13" s="66" t="str">
        <f>AND(#REF!,"AAAAAC//3zE=")</f>
        <v>#REF!</v>
      </c>
      <c r="AY13" s="66" t="str">
        <f>AND(#REF!,"AAAAAC//3zI=")</f>
        <v>#REF!</v>
      </c>
      <c r="AZ13" s="66" t="str">
        <f>AND(#REF!,"AAAAAC//3zM=")</f>
        <v>#REF!</v>
      </c>
      <c r="BA13" s="66" t="str">
        <f>AND(#REF!,"AAAAAC//3zQ=")</f>
        <v>#REF!</v>
      </c>
      <c r="BB13" s="66" t="str">
        <f>AND(#REF!,"AAAAAC//3zU=")</f>
        <v>#REF!</v>
      </c>
      <c r="BC13" s="66" t="str">
        <f>AND(#REF!,"AAAAAC//3zY=")</f>
        <v>#REF!</v>
      </c>
      <c r="BD13" s="66" t="str">
        <f>AND(#REF!,"AAAAAC//3zc=")</f>
        <v>#REF!</v>
      </c>
      <c r="BE13" s="66" t="str">
        <f>AND(#REF!,"AAAAAC//3zg=")</f>
        <v>#REF!</v>
      </c>
      <c r="BF13" s="66" t="str">
        <f>AND(#REF!,"AAAAAC//3zk=")</f>
        <v>#REF!</v>
      </c>
      <c r="BG13" s="66" t="str">
        <f>AND(#REF!,"AAAAAC//3zo=")</f>
        <v>#REF!</v>
      </c>
      <c r="BH13" s="66" t="str">
        <f>AND(#REF!,"AAAAAC//3zs=")</f>
        <v>#REF!</v>
      </c>
      <c r="BI13" s="66" t="str">
        <f>AND(#REF!,"AAAAAC//3zw=")</f>
        <v>#REF!</v>
      </c>
      <c r="BJ13" s="66" t="str">
        <f>AND(#REF!,"AAAAAC//3z0=")</f>
        <v>#REF!</v>
      </c>
      <c r="BK13" s="66" t="str">
        <f>AND(#REF!,"AAAAAC//3z4=")</f>
        <v>#REF!</v>
      </c>
      <c r="BL13" s="66" t="str">
        <f>AND(#REF!,"AAAAAC//3z8=")</f>
        <v>#REF!</v>
      </c>
      <c r="BM13" s="66" t="str">
        <f>AND(#REF!,"AAAAAC//30A=")</f>
        <v>#REF!</v>
      </c>
      <c r="BN13" s="66" t="str">
        <f>AND(#REF!,"AAAAAC//30E=")</f>
        <v>#REF!</v>
      </c>
      <c r="BO13" s="66" t="str">
        <f>AND(#REF!,"AAAAAC//30I=")</f>
        <v>#REF!</v>
      </c>
      <c r="BP13" s="66" t="str">
        <f>AND(#REF!,"AAAAAC//30M=")</f>
        <v>#REF!</v>
      </c>
      <c r="BQ13" s="66" t="str">
        <f>AND(#REF!,"AAAAAC//30Q=")</f>
        <v>#REF!</v>
      </c>
      <c r="BR13" s="66" t="str">
        <f>AND(#REF!,"AAAAAC//30U=")</f>
        <v>#REF!</v>
      </c>
      <c r="BS13" s="66" t="str">
        <f>AND(#REF!,"AAAAAC//30Y=")</f>
        <v>#REF!</v>
      </c>
      <c r="BT13" s="66" t="str">
        <f>AND(#REF!,"AAAAAC//30c=")</f>
        <v>#REF!</v>
      </c>
      <c r="BU13" s="66" t="str">
        <f>AND(#REF!,"AAAAAC//30g=")</f>
        <v>#REF!</v>
      </c>
      <c r="BV13" s="66" t="str">
        <f>AND(#REF!,"AAAAAC//30k=")</f>
        <v>#REF!</v>
      </c>
      <c r="BW13" s="66" t="str">
        <f>AND(#REF!,"AAAAAC//30o=")</f>
        <v>#REF!</v>
      </c>
      <c r="BX13" s="66" t="str">
        <f>AND(#REF!,"AAAAAC//30s=")</f>
        <v>#REF!</v>
      </c>
      <c r="BY13" s="66" t="str">
        <f>AND(#REF!,"AAAAAC//30w=")</f>
        <v>#REF!</v>
      </c>
      <c r="BZ13" s="66" t="str">
        <f>AND(#REF!,"AAAAAC//300=")</f>
        <v>#REF!</v>
      </c>
      <c r="CA13" s="66" t="str">
        <f>AND(#REF!,"AAAAAC//304=")</f>
        <v>#REF!</v>
      </c>
      <c r="CB13" s="66" t="str">
        <f>AND(#REF!,"AAAAAC//308=")</f>
        <v>#REF!</v>
      </c>
      <c r="CC13" s="66" t="str">
        <f>AND(#REF!,"AAAAAC//31A=")</f>
        <v>#REF!</v>
      </c>
      <c r="CD13" s="66" t="str">
        <f>AND(#REF!,"AAAAAC//31E=")</f>
        <v>#REF!</v>
      </c>
      <c r="CE13" s="66" t="str">
        <f>AND(#REF!,"AAAAAC//31I=")</f>
        <v>#REF!</v>
      </c>
      <c r="CF13" s="66" t="str">
        <f>AND(#REF!,"AAAAAC//31M=")</f>
        <v>#REF!</v>
      </c>
      <c r="CG13" s="66" t="str">
        <f>AND(#REF!,"AAAAAC//31Q=")</f>
        <v>#REF!</v>
      </c>
      <c r="CH13" s="66" t="str">
        <f>AND(#REF!,"AAAAAC//31U=")</f>
        <v>#REF!</v>
      </c>
      <c r="CI13" s="66" t="str">
        <f>AND(#REF!,"AAAAAC//31Y=")</f>
        <v>#REF!</v>
      </c>
      <c r="CJ13" s="66" t="str">
        <f>IF(#REF!,"AAAAAC//31c=",0)</f>
        <v>#REF!</v>
      </c>
      <c r="CK13" s="66" t="str">
        <f>AND(#REF!,"AAAAAC//31g=")</f>
        <v>#REF!</v>
      </c>
      <c r="CL13" s="66" t="str">
        <f>AND(#REF!,"AAAAAC//31k=")</f>
        <v>#REF!</v>
      </c>
      <c r="CM13" s="66" t="str">
        <f>AND(#REF!,"AAAAAC//31o=")</f>
        <v>#REF!</v>
      </c>
      <c r="CN13" s="66" t="str">
        <f>AND(#REF!,"AAAAAC//31s=")</f>
        <v>#REF!</v>
      </c>
      <c r="CO13" s="66" t="str">
        <f>AND(#REF!,"AAAAAC//31w=")</f>
        <v>#REF!</v>
      </c>
      <c r="CP13" s="66" t="str">
        <f>AND(#REF!,"AAAAAC//310=")</f>
        <v>#REF!</v>
      </c>
      <c r="CQ13" s="66" t="str">
        <f>AND(#REF!,"AAAAAC//314=")</f>
        <v>#REF!</v>
      </c>
      <c r="CR13" s="66" t="str">
        <f>AND(#REF!,"AAAAAC//318=")</f>
        <v>#REF!</v>
      </c>
      <c r="CS13" s="66" t="str">
        <f>AND(#REF!,"AAAAAC//32A=")</f>
        <v>#REF!</v>
      </c>
      <c r="CT13" s="66" t="str">
        <f>AND(#REF!,"AAAAAC//32E=")</f>
        <v>#REF!</v>
      </c>
      <c r="CU13" s="66" t="str">
        <f>AND(#REF!,"AAAAAC//32I=")</f>
        <v>#REF!</v>
      </c>
      <c r="CV13" s="66" t="str">
        <f>AND(#REF!,"AAAAAC//32M=")</f>
        <v>#REF!</v>
      </c>
      <c r="CW13" s="66" t="str">
        <f>AND(#REF!,"AAAAAC//32Q=")</f>
        <v>#REF!</v>
      </c>
      <c r="CX13" s="66" t="str">
        <f>AND(#REF!,"AAAAAC//32U=")</f>
        <v>#REF!</v>
      </c>
      <c r="CY13" s="66" t="str">
        <f>AND(#REF!,"AAAAAC//32Y=")</f>
        <v>#REF!</v>
      </c>
      <c r="CZ13" s="66" t="str">
        <f>AND(#REF!,"AAAAAC//32c=")</f>
        <v>#REF!</v>
      </c>
      <c r="DA13" s="66" t="str">
        <f>AND(#REF!,"AAAAAC//32g=")</f>
        <v>#REF!</v>
      </c>
      <c r="DB13" s="66" t="str">
        <f>AND(#REF!,"AAAAAC//32k=")</f>
        <v>#REF!</v>
      </c>
      <c r="DC13" s="66" t="str">
        <f>AND(#REF!,"AAAAAC//32o=")</f>
        <v>#REF!</v>
      </c>
      <c r="DD13" s="66" t="str">
        <f>AND(#REF!,"AAAAAC//32s=")</f>
        <v>#REF!</v>
      </c>
      <c r="DE13" s="66" t="str">
        <f>AND(#REF!,"AAAAAC//32w=")</f>
        <v>#REF!</v>
      </c>
      <c r="DF13" s="66" t="str">
        <f>AND(#REF!,"AAAAAC//320=")</f>
        <v>#REF!</v>
      </c>
      <c r="DG13" s="66" t="str">
        <f>AND(#REF!,"AAAAAC//324=")</f>
        <v>#REF!</v>
      </c>
      <c r="DH13" s="66" t="str">
        <f>AND(#REF!,"AAAAAC//328=")</f>
        <v>#REF!</v>
      </c>
      <c r="DI13" s="66" t="str">
        <f>AND(#REF!,"AAAAAC//33A=")</f>
        <v>#REF!</v>
      </c>
      <c r="DJ13" s="66" t="str">
        <f>AND(#REF!,"AAAAAC//33E=")</f>
        <v>#REF!</v>
      </c>
      <c r="DK13" s="66" t="str">
        <f>AND(#REF!,"AAAAAC//33I=")</f>
        <v>#REF!</v>
      </c>
      <c r="DL13" s="66" t="str">
        <f>AND(#REF!,"AAAAAC//33M=")</f>
        <v>#REF!</v>
      </c>
      <c r="DM13" s="66" t="str">
        <f>AND(#REF!,"AAAAAC//33Q=")</f>
        <v>#REF!</v>
      </c>
      <c r="DN13" s="66" t="str">
        <f>AND(#REF!,"AAAAAC//33U=")</f>
        <v>#REF!</v>
      </c>
      <c r="DO13" s="66" t="str">
        <f>AND(#REF!,"AAAAAC//33Y=")</f>
        <v>#REF!</v>
      </c>
      <c r="DP13" s="66" t="str">
        <f>AND(#REF!,"AAAAAC//33c=")</f>
        <v>#REF!</v>
      </c>
      <c r="DQ13" s="66" t="str">
        <f>AND(#REF!,"AAAAAC//33g=")</f>
        <v>#REF!</v>
      </c>
      <c r="DR13" s="66" t="str">
        <f>AND(#REF!,"AAAAAC//33k=")</f>
        <v>#REF!</v>
      </c>
      <c r="DS13" s="66" t="str">
        <f>AND(#REF!,"AAAAAC//33o=")</f>
        <v>#REF!</v>
      </c>
      <c r="DT13" s="66" t="str">
        <f>AND(#REF!,"AAAAAC//33s=")</f>
        <v>#REF!</v>
      </c>
      <c r="DU13" s="66" t="str">
        <f>AND(#REF!,"AAAAAC//33w=")</f>
        <v>#REF!</v>
      </c>
      <c r="DV13" s="66" t="str">
        <f>AND(#REF!,"AAAAAC//330=")</f>
        <v>#REF!</v>
      </c>
      <c r="DW13" s="66" t="str">
        <f>AND(#REF!,"AAAAAC//334=")</f>
        <v>#REF!</v>
      </c>
      <c r="DX13" s="66" t="str">
        <f>AND(#REF!,"AAAAAC//338=")</f>
        <v>#REF!</v>
      </c>
      <c r="DY13" s="66" t="str">
        <f>IF(#REF!,"AAAAAC//34A=",0)</f>
        <v>#REF!</v>
      </c>
      <c r="DZ13" s="66" t="str">
        <f>AND(#REF!,"AAAAAC//34E=")</f>
        <v>#REF!</v>
      </c>
      <c r="EA13" s="66" t="str">
        <f>AND(#REF!,"AAAAAC//34I=")</f>
        <v>#REF!</v>
      </c>
      <c r="EB13" s="66" t="str">
        <f>AND(#REF!,"AAAAAC//34M=")</f>
        <v>#REF!</v>
      </c>
      <c r="EC13" s="66" t="str">
        <f>AND(#REF!,"AAAAAC//34Q=")</f>
        <v>#REF!</v>
      </c>
      <c r="ED13" s="66" t="str">
        <f>AND(#REF!,"AAAAAC//34U=")</f>
        <v>#REF!</v>
      </c>
      <c r="EE13" s="66" t="str">
        <f>AND(#REF!,"AAAAAC//34Y=")</f>
        <v>#REF!</v>
      </c>
      <c r="EF13" s="66" t="str">
        <f>AND(#REF!,"AAAAAC//34c=")</f>
        <v>#REF!</v>
      </c>
      <c r="EG13" s="66" t="str">
        <f>AND(#REF!,"AAAAAC//34g=")</f>
        <v>#REF!</v>
      </c>
      <c r="EH13" s="66" t="str">
        <f>AND(#REF!,"AAAAAC//34k=")</f>
        <v>#REF!</v>
      </c>
      <c r="EI13" s="66" t="str">
        <f>AND(#REF!,"AAAAAC//34o=")</f>
        <v>#REF!</v>
      </c>
      <c r="EJ13" s="66" t="str">
        <f>AND(#REF!,"AAAAAC//34s=")</f>
        <v>#REF!</v>
      </c>
      <c r="EK13" s="66" t="str">
        <f>AND(#REF!,"AAAAAC//34w=")</f>
        <v>#REF!</v>
      </c>
      <c r="EL13" s="66" t="str">
        <f>AND(#REF!,"AAAAAC//340=")</f>
        <v>#REF!</v>
      </c>
      <c r="EM13" s="66" t="str">
        <f>AND(#REF!,"AAAAAC//344=")</f>
        <v>#REF!</v>
      </c>
      <c r="EN13" s="66" t="str">
        <f>AND(#REF!,"AAAAAC//348=")</f>
        <v>#REF!</v>
      </c>
      <c r="EO13" s="66" t="str">
        <f>AND(#REF!,"AAAAAC//35A=")</f>
        <v>#REF!</v>
      </c>
      <c r="EP13" s="66" t="str">
        <f>AND(#REF!,"AAAAAC//35E=")</f>
        <v>#REF!</v>
      </c>
      <c r="EQ13" s="66" t="str">
        <f>AND(#REF!,"AAAAAC//35I=")</f>
        <v>#REF!</v>
      </c>
      <c r="ER13" s="66" t="str">
        <f>AND(#REF!,"AAAAAC//35M=")</f>
        <v>#REF!</v>
      </c>
      <c r="ES13" s="66" t="str">
        <f>AND(#REF!,"AAAAAC//35Q=")</f>
        <v>#REF!</v>
      </c>
      <c r="ET13" s="66" t="str">
        <f>AND(#REF!,"AAAAAC//35U=")</f>
        <v>#REF!</v>
      </c>
      <c r="EU13" s="66" t="str">
        <f>AND(#REF!,"AAAAAC//35Y=")</f>
        <v>#REF!</v>
      </c>
      <c r="EV13" s="66" t="str">
        <f>AND(#REF!,"AAAAAC//35c=")</f>
        <v>#REF!</v>
      </c>
      <c r="EW13" s="66" t="str">
        <f>AND(#REF!,"AAAAAC//35g=")</f>
        <v>#REF!</v>
      </c>
      <c r="EX13" s="66" t="str">
        <f>AND(#REF!,"AAAAAC//35k=")</f>
        <v>#REF!</v>
      </c>
      <c r="EY13" s="66" t="str">
        <f>AND(#REF!,"AAAAAC//35o=")</f>
        <v>#REF!</v>
      </c>
      <c r="EZ13" s="66" t="str">
        <f>AND(#REF!,"AAAAAC//35s=")</f>
        <v>#REF!</v>
      </c>
      <c r="FA13" s="66" t="str">
        <f>AND(#REF!,"AAAAAC//35w=")</f>
        <v>#REF!</v>
      </c>
      <c r="FB13" s="66" t="str">
        <f>AND(#REF!,"AAAAAC//350=")</f>
        <v>#REF!</v>
      </c>
      <c r="FC13" s="66" t="str">
        <f>AND(#REF!,"AAAAAC//354=")</f>
        <v>#REF!</v>
      </c>
      <c r="FD13" s="66" t="str">
        <f>AND(#REF!,"AAAAAC//358=")</f>
        <v>#REF!</v>
      </c>
      <c r="FE13" s="66" t="str">
        <f>AND(#REF!,"AAAAAC//36A=")</f>
        <v>#REF!</v>
      </c>
      <c r="FF13" s="66" t="str">
        <f>AND(#REF!,"AAAAAC//36E=")</f>
        <v>#REF!</v>
      </c>
      <c r="FG13" s="66" t="str">
        <f>AND(#REF!,"AAAAAC//36I=")</f>
        <v>#REF!</v>
      </c>
      <c r="FH13" s="66" t="str">
        <f>AND(#REF!,"AAAAAC//36M=")</f>
        <v>#REF!</v>
      </c>
      <c r="FI13" s="66" t="str">
        <f>AND(#REF!,"AAAAAC//36Q=")</f>
        <v>#REF!</v>
      </c>
      <c r="FJ13" s="66" t="str">
        <f>AND(#REF!,"AAAAAC//36U=")</f>
        <v>#REF!</v>
      </c>
      <c r="FK13" s="66" t="str">
        <f>AND(#REF!,"AAAAAC//36Y=")</f>
        <v>#REF!</v>
      </c>
      <c r="FL13" s="66" t="str">
        <f>AND(#REF!,"AAAAAC//36c=")</f>
        <v>#REF!</v>
      </c>
      <c r="FM13" s="66" t="str">
        <f>AND(#REF!,"AAAAAC//36g=")</f>
        <v>#REF!</v>
      </c>
      <c r="FN13" s="66" t="str">
        <f>IF(#REF!,"AAAAAC//36k=",0)</f>
        <v>#REF!</v>
      </c>
      <c r="FO13" s="66" t="str">
        <f>AND(#REF!,"AAAAAC//36o=")</f>
        <v>#REF!</v>
      </c>
      <c r="FP13" s="66" t="str">
        <f>AND(#REF!,"AAAAAC//36s=")</f>
        <v>#REF!</v>
      </c>
      <c r="FQ13" s="66" t="str">
        <f>AND(#REF!,"AAAAAC//36w=")</f>
        <v>#REF!</v>
      </c>
      <c r="FR13" s="66" t="str">
        <f>AND(#REF!,"AAAAAC//360=")</f>
        <v>#REF!</v>
      </c>
      <c r="FS13" s="66" t="str">
        <f>AND(#REF!,"AAAAAC//364=")</f>
        <v>#REF!</v>
      </c>
      <c r="FT13" s="66" t="str">
        <f>AND(#REF!,"AAAAAC//368=")</f>
        <v>#REF!</v>
      </c>
      <c r="FU13" s="66" t="str">
        <f>AND(#REF!,"AAAAAC//37A=")</f>
        <v>#REF!</v>
      </c>
      <c r="FV13" s="66" t="str">
        <f>AND(#REF!,"AAAAAC//37E=")</f>
        <v>#REF!</v>
      </c>
      <c r="FW13" s="66" t="str">
        <f>AND(#REF!,"AAAAAC//37I=")</f>
        <v>#REF!</v>
      </c>
      <c r="FX13" s="66" t="str">
        <f>AND(#REF!,"AAAAAC//37M=")</f>
        <v>#REF!</v>
      </c>
      <c r="FY13" s="66" t="str">
        <f>AND(#REF!,"AAAAAC//37Q=")</f>
        <v>#REF!</v>
      </c>
      <c r="FZ13" s="66" t="str">
        <f>AND(#REF!,"AAAAAC//37U=")</f>
        <v>#REF!</v>
      </c>
      <c r="GA13" s="66" t="str">
        <f>AND(#REF!,"AAAAAC//37Y=")</f>
        <v>#REF!</v>
      </c>
      <c r="GB13" s="66" t="str">
        <f>AND(#REF!,"AAAAAC//37c=")</f>
        <v>#REF!</v>
      </c>
      <c r="GC13" s="66" t="str">
        <f>AND(#REF!,"AAAAAC//37g=")</f>
        <v>#REF!</v>
      </c>
      <c r="GD13" s="66" t="str">
        <f>AND(#REF!,"AAAAAC//37k=")</f>
        <v>#REF!</v>
      </c>
      <c r="GE13" s="66" t="str">
        <f>AND(#REF!,"AAAAAC//37o=")</f>
        <v>#REF!</v>
      </c>
      <c r="GF13" s="66" t="str">
        <f>AND(#REF!,"AAAAAC//37s=")</f>
        <v>#REF!</v>
      </c>
      <c r="GG13" s="66" t="str">
        <f>AND(#REF!,"AAAAAC//37w=")</f>
        <v>#REF!</v>
      </c>
      <c r="GH13" s="66" t="str">
        <f>AND(#REF!,"AAAAAC//370=")</f>
        <v>#REF!</v>
      </c>
      <c r="GI13" s="66" t="str">
        <f>AND(#REF!,"AAAAAC//374=")</f>
        <v>#REF!</v>
      </c>
      <c r="GJ13" s="66" t="str">
        <f>AND(#REF!,"AAAAAC//378=")</f>
        <v>#REF!</v>
      </c>
      <c r="GK13" s="66" t="str">
        <f>AND(#REF!,"AAAAAC//38A=")</f>
        <v>#REF!</v>
      </c>
      <c r="GL13" s="66" t="str">
        <f>AND(#REF!,"AAAAAC//38E=")</f>
        <v>#REF!</v>
      </c>
      <c r="GM13" s="66" t="str">
        <f>AND(#REF!,"AAAAAC//38I=")</f>
        <v>#REF!</v>
      </c>
      <c r="GN13" s="66" t="str">
        <f>AND(#REF!,"AAAAAC//38M=")</f>
        <v>#REF!</v>
      </c>
      <c r="GO13" s="66" t="str">
        <f>AND(#REF!,"AAAAAC//38Q=")</f>
        <v>#REF!</v>
      </c>
      <c r="GP13" s="66" t="str">
        <f>AND(#REF!,"AAAAAC//38U=")</f>
        <v>#REF!</v>
      </c>
      <c r="GQ13" s="66" t="str">
        <f>AND(#REF!,"AAAAAC//38Y=")</f>
        <v>#REF!</v>
      </c>
      <c r="GR13" s="66" t="str">
        <f>AND(#REF!,"AAAAAC//38c=")</f>
        <v>#REF!</v>
      </c>
      <c r="GS13" s="66" t="str">
        <f>AND(#REF!,"AAAAAC//38g=")</f>
        <v>#REF!</v>
      </c>
      <c r="GT13" s="66" t="str">
        <f>AND(#REF!,"AAAAAC//38k=")</f>
        <v>#REF!</v>
      </c>
      <c r="GU13" s="66" t="str">
        <f>AND(#REF!,"AAAAAC//38o=")</f>
        <v>#REF!</v>
      </c>
      <c r="GV13" s="66" t="str">
        <f>AND(#REF!,"AAAAAC//38s=")</f>
        <v>#REF!</v>
      </c>
      <c r="GW13" s="66" t="str">
        <f>AND(#REF!,"AAAAAC//38w=")</f>
        <v>#REF!</v>
      </c>
      <c r="GX13" s="66" t="str">
        <f>AND(#REF!,"AAAAAC//380=")</f>
        <v>#REF!</v>
      </c>
      <c r="GY13" s="66" t="str">
        <f>AND(#REF!,"AAAAAC//384=")</f>
        <v>#REF!</v>
      </c>
      <c r="GZ13" s="66" t="str">
        <f>AND(#REF!,"AAAAAC//388=")</f>
        <v>#REF!</v>
      </c>
      <c r="HA13" s="66" t="str">
        <f>AND(#REF!,"AAAAAC//39A=")</f>
        <v>#REF!</v>
      </c>
      <c r="HB13" s="66" t="str">
        <f>AND(#REF!,"AAAAAC//39E=")</f>
        <v>#REF!</v>
      </c>
      <c r="HC13" s="66" t="str">
        <f>IF(#REF!,"AAAAAC//39I=",0)</f>
        <v>#REF!</v>
      </c>
      <c r="HD13" s="66" t="str">
        <f>AND(#REF!,"AAAAAC//39M=")</f>
        <v>#REF!</v>
      </c>
      <c r="HE13" s="66" t="str">
        <f>AND(#REF!,"AAAAAC//39Q=")</f>
        <v>#REF!</v>
      </c>
      <c r="HF13" s="66" t="str">
        <f>AND(#REF!,"AAAAAC//39U=")</f>
        <v>#REF!</v>
      </c>
      <c r="HG13" s="66" t="str">
        <f>AND(#REF!,"AAAAAC//39Y=")</f>
        <v>#REF!</v>
      </c>
      <c r="HH13" s="66" t="str">
        <f>AND(#REF!,"AAAAAC//39c=")</f>
        <v>#REF!</v>
      </c>
      <c r="HI13" s="66" t="str">
        <f>AND(#REF!,"AAAAAC//39g=")</f>
        <v>#REF!</v>
      </c>
      <c r="HJ13" s="66" t="str">
        <f>AND(#REF!,"AAAAAC//39k=")</f>
        <v>#REF!</v>
      </c>
      <c r="HK13" s="66" t="str">
        <f>AND(#REF!,"AAAAAC//39o=")</f>
        <v>#REF!</v>
      </c>
      <c r="HL13" s="66" t="str">
        <f>AND(#REF!,"AAAAAC//39s=")</f>
        <v>#REF!</v>
      </c>
      <c r="HM13" s="66" t="str">
        <f>AND(#REF!,"AAAAAC//39w=")</f>
        <v>#REF!</v>
      </c>
      <c r="HN13" s="66" t="str">
        <f>AND(#REF!,"AAAAAC//390=")</f>
        <v>#REF!</v>
      </c>
      <c r="HO13" s="66" t="str">
        <f>AND(#REF!,"AAAAAC//394=")</f>
        <v>#REF!</v>
      </c>
      <c r="HP13" s="66" t="str">
        <f>AND(#REF!,"AAAAAC//398=")</f>
        <v>#REF!</v>
      </c>
      <c r="HQ13" s="66" t="str">
        <f>AND(#REF!,"AAAAAC//3+A=")</f>
        <v>#REF!</v>
      </c>
      <c r="HR13" s="66" t="str">
        <f>AND(#REF!,"AAAAAC//3+E=")</f>
        <v>#REF!</v>
      </c>
      <c r="HS13" s="66" t="str">
        <f>AND(#REF!,"AAAAAC//3+I=")</f>
        <v>#REF!</v>
      </c>
      <c r="HT13" s="66" t="str">
        <f>AND(#REF!,"AAAAAC//3+M=")</f>
        <v>#REF!</v>
      </c>
      <c r="HU13" s="66" t="str">
        <f>AND(#REF!,"AAAAAC//3+Q=")</f>
        <v>#REF!</v>
      </c>
      <c r="HV13" s="66" t="str">
        <f>AND(#REF!,"AAAAAC//3+U=")</f>
        <v>#REF!</v>
      </c>
      <c r="HW13" s="66" t="str">
        <f>AND(#REF!,"AAAAAC//3+Y=")</f>
        <v>#REF!</v>
      </c>
      <c r="HX13" s="66" t="str">
        <f>AND(#REF!,"AAAAAC//3+c=")</f>
        <v>#REF!</v>
      </c>
      <c r="HY13" s="66" t="str">
        <f>AND(#REF!,"AAAAAC//3+g=")</f>
        <v>#REF!</v>
      </c>
      <c r="HZ13" s="66" t="str">
        <f>AND(#REF!,"AAAAAC//3+k=")</f>
        <v>#REF!</v>
      </c>
      <c r="IA13" s="66" t="str">
        <f>AND(#REF!,"AAAAAC//3+o=")</f>
        <v>#REF!</v>
      </c>
      <c r="IB13" s="66" t="str">
        <f>AND(#REF!,"AAAAAC//3+s=")</f>
        <v>#REF!</v>
      </c>
      <c r="IC13" s="66" t="str">
        <f>AND(#REF!,"AAAAAC//3+w=")</f>
        <v>#REF!</v>
      </c>
      <c r="ID13" s="66" t="str">
        <f>AND(#REF!,"AAAAAC//3+0=")</f>
        <v>#REF!</v>
      </c>
      <c r="IE13" s="66" t="str">
        <f>AND(#REF!,"AAAAAC//3+4=")</f>
        <v>#REF!</v>
      </c>
      <c r="IF13" s="66" t="str">
        <f>AND(#REF!,"AAAAAC//3+8=")</f>
        <v>#REF!</v>
      </c>
      <c r="IG13" s="66" t="str">
        <f>AND(#REF!,"AAAAAC//3/A=")</f>
        <v>#REF!</v>
      </c>
      <c r="IH13" s="66" t="str">
        <f>AND(#REF!,"AAAAAC//3/E=")</f>
        <v>#REF!</v>
      </c>
      <c r="II13" s="66" t="str">
        <f>AND(#REF!,"AAAAAC//3/I=")</f>
        <v>#REF!</v>
      </c>
      <c r="IJ13" s="66" t="str">
        <f>AND(#REF!,"AAAAAC//3/M=")</f>
        <v>#REF!</v>
      </c>
      <c r="IK13" s="66" t="str">
        <f>AND(#REF!,"AAAAAC//3/Q=")</f>
        <v>#REF!</v>
      </c>
      <c r="IL13" s="66" t="str">
        <f>AND(#REF!,"AAAAAC//3/U=")</f>
        <v>#REF!</v>
      </c>
      <c r="IM13" s="66" t="str">
        <f>AND(#REF!,"AAAAAC//3/Y=")</f>
        <v>#REF!</v>
      </c>
      <c r="IN13" s="66" t="str">
        <f>AND(#REF!,"AAAAAC//3/c=")</f>
        <v>#REF!</v>
      </c>
      <c r="IO13" s="66" t="str">
        <f>AND(#REF!,"AAAAAC//3/g=")</f>
        <v>#REF!</v>
      </c>
      <c r="IP13" s="66" t="str">
        <f>AND(#REF!,"AAAAAC//3/k=")</f>
        <v>#REF!</v>
      </c>
      <c r="IQ13" s="66" t="str">
        <f>AND(#REF!,"AAAAAC//3/o=")</f>
        <v>#REF!</v>
      </c>
      <c r="IR13" s="66" t="str">
        <f>IF(#REF!,"AAAAAC//3/s=",0)</f>
        <v>#REF!</v>
      </c>
      <c r="IS13" s="66" t="str">
        <f>AND(#REF!,"AAAAAC//3/w=")</f>
        <v>#REF!</v>
      </c>
      <c r="IT13" s="66" t="str">
        <f>AND(#REF!,"AAAAAC//3/0=")</f>
        <v>#REF!</v>
      </c>
      <c r="IU13" s="66" t="str">
        <f>AND(#REF!,"AAAAAC//3/4=")</f>
        <v>#REF!</v>
      </c>
      <c r="IV13" s="66" t="str">
        <f>AND(#REF!,"AAAAAC//3/8=")</f>
        <v>#REF!</v>
      </c>
    </row>
    <row r="14" ht="12.75" customHeight="1">
      <c r="A14" s="66" t="str">
        <f>AND(#REF!,"AAAAAGU/owA=")</f>
        <v>#REF!</v>
      </c>
      <c r="B14" s="66" t="str">
        <f>AND(#REF!,"AAAAAGU/owE=")</f>
        <v>#REF!</v>
      </c>
      <c r="C14" s="66" t="str">
        <f>AND(#REF!,"AAAAAGU/owI=")</f>
        <v>#REF!</v>
      </c>
      <c r="D14" s="66" t="str">
        <f>AND(#REF!,"AAAAAGU/owM=")</f>
        <v>#REF!</v>
      </c>
      <c r="E14" s="66" t="str">
        <f>AND(#REF!,"AAAAAGU/owQ=")</f>
        <v>#REF!</v>
      </c>
      <c r="F14" s="66" t="str">
        <f>AND(#REF!,"AAAAAGU/owU=")</f>
        <v>#REF!</v>
      </c>
      <c r="G14" s="66" t="str">
        <f>AND(#REF!,"AAAAAGU/owY=")</f>
        <v>#REF!</v>
      </c>
      <c r="H14" s="66" t="str">
        <f>AND(#REF!,"AAAAAGU/owc=")</f>
        <v>#REF!</v>
      </c>
      <c r="I14" s="66" t="str">
        <f>AND(#REF!,"AAAAAGU/owg=")</f>
        <v>#REF!</v>
      </c>
      <c r="J14" s="66" t="str">
        <f>AND(#REF!,"AAAAAGU/owk=")</f>
        <v>#REF!</v>
      </c>
      <c r="K14" s="66" t="str">
        <f>AND(#REF!,"AAAAAGU/owo=")</f>
        <v>#REF!</v>
      </c>
      <c r="L14" s="66" t="str">
        <f>AND(#REF!,"AAAAAGU/ows=")</f>
        <v>#REF!</v>
      </c>
      <c r="M14" s="66" t="str">
        <f>AND(#REF!,"AAAAAGU/oww=")</f>
        <v>#REF!</v>
      </c>
      <c r="N14" s="66" t="str">
        <f>AND(#REF!,"AAAAAGU/ow0=")</f>
        <v>#REF!</v>
      </c>
      <c r="O14" s="66" t="str">
        <f>AND(#REF!,"AAAAAGU/ow4=")</f>
        <v>#REF!</v>
      </c>
      <c r="P14" s="66" t="str">
        <f>AND(#REF!,"AAAAAGU/ow8=")</f>
        <v>#REF!</v>
      </c>
      <c r="Q14" s="66" t="str">
        <f>AND(#REF!,"AAAAAGU/oxA=")</f>
        <v>#REF!</v>
      </c>
      <c r="R14" s="66" t="str">
        <f>AND(#REF!,"AAAAAGU/oxE=")</f>
        <v>#REF!</v>
      </c>
      <c r="S14" s="66" t="str">
        <f>AND(#REF!,"AAAAAGU/oxI=")</f>
        <v>#REF!</v>
      </c>
      <c r="T14" s="66" t="str">
        <f>AND(#REF!,"AAAAAGU/oxM=")</f>
        <v>#REF!</v>
      </c>
      <c r="U14" s="66" t="str">
        <f>AND(#REF!,"AAAAAGU/oxQ=")</f>
        <v>#REF!</v>
      </c>
      <c r="V14" s="66" t="str">
        <f>AND(#REF!,"AAAAAGU/oxU=")</f>
        <v>#REF!</v>
      </c>
      <c r="W14" s="66" t="str">
        <f>AND(#REF!,"AAAAAGU/oxY=")</f>
        <v>#REF!</v>
      </c>
      <c r="X14" s="66" t="str">
        <f>AND(#REF!,"AAAAAGU/oxc=")</f>
        <v>#REF!</v>
      </c>
      <c r="Y14" s="66" t="str">
        <f>AND(#REF!,"AAAAAGU/oxg=")</f>
        <v>#REF!</v>
      </c>
      <c r="Z14" s="66" t="str">
        <f>AND(#REF!,"AAAAAGU/oxk=")</f>
        <v>#REF!</v>
      </c>
      <c r="AA14" s="66" t="str">
        <f>AND(#REF!,"AAAAAGU/oxo=")</f>
        <v>#REF!</v>
      </c>
      <c r="AB14" s="66" t="str">
        <f>AND(#REF!,"AAAAAGU/oxs=")</f>
        <v>#REF!</v>
      </c>
      <c r="AC14" s="66" t="str">
        <f>AND(#REF!,"AAAAAGU/oxw=")</f>
        <v>#REF!</v>
      </c>
      <c r="AD14" s="66" t="str">
        <f>AND(#REF!,"AAAAAGU/ox0=")</f>
        <v>#REF!</v>
      </c>
      <c r="AE14" s="66" t="str">
        <f>AND(#REF!,"AAAAAGU/ox4=")</f>
        <v>#REF!</v>
      </c>
      <c r="AF14" s="66" t="str">
        <f>AND(#REF!,"AAAAAGU/ox8=")</f>
        <v>#REF!</v>
      </c>
      <c r="AG14" s="66" t="str">
        <f>AND(#REF!,"AAAAAGU/oyA=")</f>
        <v>#REF!</v>
      </c>
      <c r="AH14" s="66" t="str">
        <f>AND(#REF!,"AAAAAGU/oyE=")</f>
        <v>#REF!</v>
      </c>
      <c r="AI14" s="66" t="str">
        <f>AND(#REF!,"AAAAAGU/oyI=")</f>
        <v>#REF!</v>
      </c>
      <c r="AJ14" s="66" t="str">
        <f>AND(#REF!,"AAAAAGU/oyM=")</f>
        <v>#REF!</v>
      </c>
      <c r="AK14" s="66" t="str">
        <f>IF(#REF!,"AAAAAGU/oyQ=",0)</f>
        <v>#REF!</v>
      </c>
      <c r="AL14" s="66" t="str">
        <f>AND(#REF!,"AAAAAGU/oyU=")</f>
        <v>#REF!</v>
      </c>
      <c r="AM14" s="66" t="str">
        <f>AND(#REF!,"AAAAAGU/oyY=")</f>
        <v>#REF!</v>
      </c>
      <c r="AN14" s="66" t="str">
        <f>AND(#REF!,"AAAAAGU/oyc=")</f>
        <v>#REF!</v>
      </c>
      <c r="AO14" s="66" t="str">
        <f>AND(#REF!,"AAAAAGU/oyg=")</f>
        <v>#REF!</v>
      </c>
      <c r="AP14" s="66" t="str">
        <f>AND(#REF!,"AAAAAGU/oyk=")</f>
        <v>#REF!</v>
      </c>
      <c r="AQ14" s="66" t="str">
        <f>AND(#REF!,"AAAAAGU/oyo=")</f>
        <v>#REF!</v>
      </c>
      <c r="AR14" s="66" t="str">
        <f>AND(#REF!,"AAAAAGU/oys=")</f>
        <v>#REF!</v>
      </c>
      <c r="AS14" s="66" t="str">
        <f>AND(#REF!,"AAAAAGU/oyw=")</f>
        <v>#REF!</v>
      </c>
      <c r="AT14" s="66" t="str">
        <f>AND(#REF!,"AAAAAGU/oy0=")</f>
        <v>#REF!</v>
      </c>
      <c r="AU14" s="66" t="str">
        <f>AND(#REF!,"AAAAAGU/oy4=")</f>
        <v>#REF!</v>
      </c>
      <c r="AV14" s="66" t="str">
        <f>AND(#REF!,"AAAAAGU/oy8=")</f>
        <v>#REF!</v>
      </c>
      <c r="AW14" s="66" t="str">
        <f>AND(#REF!,"AAAAAGU/ozA=")</f>
        <v>#REF!</v>
      </c>
      <c r="AX14" s="66" t="str">
        <f>AND(#REF!,"AAAAAGU/ozE=")</f>
        <v>#REF!</v>
      </c>
      <c r="AY14" s="66" t="str">
        <f>AND(#REF!,"AAAAAGU/ozI=")</f>
        <v>#REF!</v>
      </c>
      <c r="AZ14" s="66" t="str">
        <f>AND(#REF!,"AAAAAGU/ozM=")</f>
        <v>#REF!</v>
      </c>
      <c r="BA14" s="66" t="str">
        <f>AND(#REF!,"AAAAAGU/ozQ=")</f>
        <v>#REF!</v>
      </c>
      <c r="BB14" s="66" t="str">
        <f>AND(#REF!,"AAAAAGU/ozU=")</f>
        <v>#REF!</v>
      </c>
      <c r="BC14" s="66" t="str">
        <f>AND(#REF!,"AAAAAGU/ozY=")</f>
        <v>#REF!</v>
      </c>
      <c r="BD14" s="66" t="str">
        <f>AND(#REF!,"AAAAAGU/ozc=")</f>
        <v>#REF!</v>
      </c>
      <c r="BE14" s="66" t="str">
        <f>AND(#REF!,"AAAAAGU/ozg=")</f>
        <v>#REF!</v>
      </c>
      <c r="BF14" s="66" t="str">
        <f>AND(#REF!,"AAAAAGU/ozk=")</f>
        <v>#REF!</v>
      </c>
      <c r="BG14" s="66" t="str">
        <f>AND(#REF!,"AAAAAGU/ozo=")</f>
        <v>#REF!</v>
      </c>
      <c r="BH14" s="66" t="str">
        <f>AND(#REF!,"AAAAAGU/ozs=")</f>
        <v>#REF!</v>
      </c>
      <c r="BI14" s="66" t="str">
        <f>AND(#REF!,"AAAAAGU/ozw=")</f>
        <v>#REF!</v>
      </c>
      <c r="BJ14" s="66" t="str">
        <f>AND(#REF!,"AAAAAGU/oz0=")</f>
        <v>#REF!</v>
      </c>
      <c r="BK14" s="66" t="str">
        <f>AND(#REF!,"AAAAAGU/oz4=")</f>
        <v>#REF!</v>
      </c>
      <c r="BL14" s="66" t="str">
        <f>AND(#REF!,"AAAAAGU/oz8=")</f>
        <v>#REF!</v>
      </c>
      <c r="BM14" s="66" t="str">
        <f>AND(#REF!,"AAAAAGU/o0A=")</f>
        <v>#REF!</v>
      </c>
      <c r="BN14" s="66" t="str">
        <f>AND(#REF!,"AAAAAGU/o0E=")</f>
        <v>#REF!</v>
      </c>
      <c r="BO14" s="66" t="str">
        <f>AND(#REF!,"AAAAAGU/o0I=")</f>
        <v>#REF!</v>
      </c>
      <c r="BP14" s="66" t="str">
        <f>AND(#REF!,"AAAAAGU/o0M=")</f>
        <v>#REF!</v>
      </c>
      <c r="BQ14" s="66" t="str">
        <f>AND(#REF!,"AAAAAGU/o0Q=")</f>
        <v>#REF!</v>
      </c>
      <c r="BR14" s="66" t="str">
        <f>AND(#REF!,"AAAAAGU/o0U=")</f>
        <v>#REF!</v>
      </c>
      <c r="BS14" s="66" t="str">
        <f>AND(#REF!,"AAAAAGU/o0Y=")</f>
        <v>#REF!</v>
      </c>
      <c r="BT14" s="66" t="str">
        <f>AND(#REF!,"AAAAAGU/o0c=")</f>
        <v>#REF!</v>
      </c>
      <c r="BU14" s="66" t="str">
        <f>AND(#REF!,"AAAAAGU/o0g=")</f>
        <v>#REF!</v>
      </c>
      <c r="BV14" s="66" t="str">
        <f>AND(#REF!,"AAAAAGU/o0k=")</f>
        <v>#REF!</v>
      </c>
      <c r="BW14" s="66" t="str">
        <f>AND(#REF!,"AAAAAGU/o0o=")</f>
        <v>#REF!</v>
      </c>
      <c r="BX14" s="66" t="str">
        <f>AND(#REF!,"AAAAAGU/o0s=")</f>
        <v>#REF!</v>
      </c>
      <c r="BY14" s="66" t="str">
        <f>AND(#REF!,"AAAAAGU/o0w=")</f>
        <v>#REF!</v>
      </c>
      <c r="BZ14" s="66" t="str">
        <f>IF(#REF!,"AAAAAGU/o00=",0)</f>
        <v>#REF!</v>
      </c>
      <c r="CA14" s="66" t="str">
        <f>AND(#REF!,"AAAAAGU/o04=")</f>
        <v>#REF!</v>
      </c>
      <c r="CB14" s="66" t="str">
        <f>AND(#REF!,"AAAAAGU/o08=")</f>
        <v>#REF!</v>
      </c>
      <c r="CC14" s="66" t="str">
        <f>AND(#REF!,"AAAAAGU/o1A=")</f>
        <v>#REF!</v>
      </c>
      <c r="CD14" s="66" t="str">
        <f>AND(#REF!,"AAAAAGU/o1E=")</f>
        <v>#REF!</v>
      </c>
      <c r="CE14" s="66" t="str">
        <f>AND(#REF!,"AAAAAGU/o1I=")</f>
        <v>#REF!</v>
      </c>
      <c r="CF14" s="66" t="str">
        <f>AND(#REF!,"AAAAAGU/o1M=")</f>
        <v>#REF!</v>
      </c>
      <c r="CG14" s="66" t="str">
        <f>AND(#REF!,"AAAAAGU/o1Q=")</f>
        <v>#REF!</v>
      </c>
      <c r="CH14" s="66" t="str">
        <f>AND(#REF!,"AAAAAGU/o1U=")</f>
        <v>#REF!</v>
      </c>
      <c r="CI14" s="66" t="str">
        <f>AND(#REF!,"AAAAAGU/o1Y=")</f>
        <v>#REF!</v>
      </c>
      <c r="CJ14" s="66" t="str">
        <f>AND(#REF!,"AAAAAGU/o1c=")</f>
        <v>#REF!</v>
      </c>
      <c r="CK14" s="66" t="str">
        <f>AND(#REF!,"AAAAAGU/o1g=")</f>
        <v>#REF!</v>
      </c>
      <c r="CL14" s="66" t="str">
        <f>AND(#REF!,"AAAAAGU/o1k=")</f>
        <v>#REF!</v>
      </c>
      <c r="CM14" s="66" t="str">
        <f>AND(#REF!,"AAAAAGU/o1o=")</f>
        <v>#REF!</v>
      </c>
      <c r="CN14" s="66" t="str">
        <f>AND(#REF!,"AAAAAGU/o1s=")</f>
        <v>#REF!</v>
      </c>
      <c r="CO14" s="66" t="str">
        <f>AND(#REF!,"AAAAAGU/o1w=")</f>
        <v>#REF!</v>
      </c>
      <c r="CP14" s="66" t="str">
        <f>AND(#REF!,"AAAAAGU/o10=")</f>
        <v>#REF!</v>
      </c>
      <c r="CQ14" s="66" t="str">
        <f>AND(#REF!,"AAAAAGU/o14=")</f>
        <v>#REF!</v>
      </c>
      <c r="CR14" s="66" t="str">
        <f>AND(#REF!,"AAAAAGU/o18=")</f>
        <v>#REF!</v>
      </c>
      <c r="CS14" s="66" t="str">
        <f>AND(#REF!,"AAAAAGU/o2A=")</f>
        <v>#REF!</v>
      </c>
      <c r="CT14" s="66" t="str">
        <f>AND(#REF!,"AAAAAGU/o2E=")</f>
        <v>#REF!</v>
      </c>
      <c r="CU14" s="66" t="str">
        <f>AND(#REF!,"AAAAAGU/o2I=")</f>
        <v>#REF!</v>
      </c>
      <c r="CV14" s="66" t="str">
        <f>AND(#REF!,"AAAAAGU/o2M=")</f>
        <v>#REF!</v>
      </c>
      <c r="CW14" s="66" t="str">
        <f>AND(#REF!,"AAAAAGU/o2Q=")</f>
        <v>#REF!</v>
      </c>
      <c r="CX14" s="66" t="str">
        <f>AND(#REF!,"AAAAAGU/o2U=")</f>
        <v>#REF!</v>
      </c>
      <c r="CY14" s="66" t="str">
        <f>AND(#REF!,"AAAAAGU/o2Y=")</f>
        <v>#REF!</v>
      </c>
      <c r="CZ14" s="66" t="str">
        <f>AND(#REF!,"AAAAAGU/o2c=")</f>
        <v>#REF!</v>
      </c>
      <c r="DA14" s="66" t="str">
        <f>AND(#REF!,"AAAAAGU/o2g=")</f>
        <v>#REF!</v>
      </c>
      <c r="DB14" s="66" t="str">
        <f>AND(#REF!,"AAAAAGU/o2k=")</f>
        <v>#REF!</v>
      </c>
      <c r="DC14" s="66" t="str">
        <f>AND(#REF!,"AAAAAGU/o2o=")</f>
        <v>#REF!</v>
      </c>
      <c r="DD14" s="66" t="str">
        <f>AND(#REF!,"AAAAAGU/o2s=")</f>
        <v>#REF!</v>
      </c>
      <c r="DE14" s="66" t="str">
        <f>AND(#REF!,"AAAAAGU/o2w=")</f>
        <v>#REF!</v>
      </c>
      <c r="DF14" s="66" t="str">
        <f>AND(#REF!,"AAAAAGU/o20=")</f>
        <v>#REF!</v>
      </c>
      <c r="DG14" s="66" t="str">
        <f>AND(#REF!,"AAAAAGU/o24=")</f>
        <v>#REF!</v>
      </c>
      <c r="DH14" s="66" t="str">
        <f>AND(#REF!,"AAAAAGU/o28=")</f>
        <v>#REF!</v>
      </c>
      <c r="DI14" s="66" t="str">
        <f>AND(#REF!,"AAAAAGU/o3A=")</f>
        <v>#REF!</v>
      </c>
      <c r="DJ14" s="66" t="str">
        <f>AND(#REF!,"AAAAAGU/o3E=")</f>
        <v>#REF!</v>
      </c>
      <c r="DK14" s="66" t="str">
        <f>AND(#REF!,"AAAAAGU/o3I=")</f>
        <v>#REF!</v>
      </c>
      <c r="DL14" s="66" t="str">
        <f>AND(#REF!,"AAAAAGU/o3M=")</f>
        <v>#REF!</v>
      </c>
      <c r="DM14" s="66" t="str">
        <f>AND(#REF!,"AAAAAGU/o3Q=")</f>
        <v>#REF!</v>
      </c>
      <c r="DN14" s="66" t="str">
        <f>AND(#REF!,"AAAAAGU/o3U=")</f>
        <v>#REF!</v>
      </c>
      <c r="DO14" s="66" t="str">
        <f>IF(#REF!,"AAAAAGU/o3Y=",0)</f>
        <v>#REF!</v>
      </c>
      <c r="DP14" s="66" t="str">
        <f>AND(#REF!,"AAAAAGU/o3c=")</f>
        <v>#REF!</v>
      </c>
      <c r="DQ14" s="66" t="str">
        <f>AND(#REF!,"AAAAAGU/o3g=")</f>
        <v>#REF!</v>
      </c>
      <c r="DR14" s="66" t="str">
        <f>AND(#REF!,"AAAAAGU/o3k=")</f>
        <v>#REF!</v>
      </c>
      <c r="DS14" s="66" t="str">
        <f>AND(#REF!,"AAAAAGU/o3o=")</f>
        <v>#REF!</v>
      </c>
      <c r="DT14" s="66" t="str">
        <f>AND(#REF!,"AAAAAGU/o3s=")</f>
        <v>#REF!</v>
      </c>
      <c r="DU14" s="66" t="str">
        <f>AND(#REF!,"AAAAAGU/o3w=")</f>
        <v>#REF!</v>
      </c>
      <c r="DV14" s="66" t="str">
        <f>AND(#REF!,"AAAAAGU/o30=")</f>
        <v>#REF!</v>
      </c>
      <c r="DW14" s="66" t="str">
        <f>AND(#REF!,"AAAAAGU/o34=")</f>
        <v>#REF!</v>
      </c>
      <c r="DX14" s="66" t="str">
        <f>AND(#REF!,"AAAAAGU/o38=")</f>
        <v>#REF!</v>
      </c>
      <c r="DY14" s="66" t="str">
        <f>AND(#REF!,"AAAAAGU/o4A=")</f>
        <v>#REF!</v>
      </c>
      <c r="DZ14" s="66" t="str">
        <f>AND(#REF!,"AAAAAGU/o4E=")</f>
        <v>#REF!</v>
      </c>
      <c r="EA14" s="66" t="str">
        <f>AND(#REF!,"AAAAAGU/o4I=")</f>
        <v>#REF!</v>
      </c>
      <c r="EB14" s="66" t="str">
        <f>AND(#REF!,"AAAAAGU/o4M=")</f>
        <v>#REF!</v>
      </c>
      <c r="EC14" s="66" t="str">
        <f>AND(#REF!,"AAAAAGU/o4Q=")</f>
        <v>#REF!</v>
      </c>
      <c r="ED14" s="66" t="str">
        <f>AND(#REF!,"AAAAAGU/o4U=")</f>
        <v>#REF!</v>
      </c>
      <c r="EE14" s="66" t="str">
        <f>AND(#REF!,"AAAAAGU/o4Y=")</f>
        <v>#REF!</v>
      </c>
      <c r="EF14" s="66" t="str">
        <f>AND(#REF!,"AAAAAGU/o4c=")</f>
        <v>#REF!</v>
      </c>
      <c r="EG14" s="66" t="str">
        <f>AND(#REF!,"AAAAAGU/o4g=")</f>
        <v>#REF!</v>
      </c>
      <c r="EH14" s="66" t="str">
        <f>AND(#REF!,"AAAAAGU/o4k=")</f>
        <v>#REF!</v>
      </c>
      <c r="EI14" s="66" t="str">
        <f>AND(#REF!,"AAAAAGU/o4o=")</f>
        <v>#REF!</v>
      </c>
      <c r="EJ14" s="66" t="str">
        <f>AND(#REF!,"AAAAAGU/o4s=")</f>
        <v>#REF!</v>
      </c>
      <c r="EK14" s="66" t="str">
        <f>AND(#REF!,"AAAAAGU/o4w=")</f>
        <v>#REF!</v>
      </c>
      <c r="EL14" s="66" t="str">
        <f>AND(#REF!,"AAAAAGU/o40=")</f>
        <v>#REF!</v>
      </c>
      <c r="EM14" s="66" t="str">
        <f>AND(#REF!,"AAAAAGU/o44=")</f>
        <v>#REF!</v>
      </c>
      <c r="EN14" s="66" t="str">
        <f>AND(#REF!,"AAAAAGU/o48=")</f>
        <v>#REF!</v>
      </c>
      <c r="EO14" s="66" t="str">
        <f>AND(#REF!,"AAAAAGU/o5A=")</f>
        <v>#REF!</v>
      </c>
      <c r="EP14" s="66" t="str">
        <f>AND(#REF!,"AAAAAGU/o5E=")</f>
        <v>#REF!</v>
      </c>
      <c r="EQ14" s="66" t="str">
        <f>AND(#REF!,"AAAAAGU/o5I=")</f>
        <v>#REF!</v>
      </c>
      <c r="ER14" s="66" t="str">
        <f>AND(#REF!,"AAAAAGU/o5M=")</f>
        <v>#REF!</v>
      </c>
      <c r="ES14" s="66" t="str">
        <f>AND(#REF!,"AAAAAGU/o5Q=")</f>
        <v>#REF!</v>
      </c>
      <c r="ET14" s="66" t="str">
        <f>AND(#REF!,"AAAAAGU/o5U=")</f>
        <v>#REF!</v>
      </c>
      <c r="EU14" s="66" t="str">
        <f>AND(#REF!,"AAAAAGU/o5Y=")</f>
        <v>#REF!</v>
      </c>
      <c r="EV14" s="66" t="str">
        <f>AND(#REF!,"AAAAAGU/o5c=")</f>
        <v>#REF!</v>
      </c>
      <c r="EW14" s="66" t="str">
        <f>AND(#REF!,"AAAAAGU/o5g=")</f>
        <v>#REF!</v>
      </c>
      <c r="EX14" s="66" t="str">
        <f>AND(#REF!,"AAAAAGU/o5k=")</f>
        <v>#REF!</v>
      </c>
      <c r="EY14" s="66" t="str">
        <f>AND(#REF!,"AAAAAGU/o5o=")</f>
        <v>#REF!</v>
      </c>
      <c r="EZ14" s="66" t="str">
        <f>AND(#REF!,"AAAAAGU/o5s=")</f>
        <v>#REF!</v>
      </c>
      <c r="FA14" s="66" t="str">
        <f>AND(#REF!,"AAAAAGU/o5w=")</f>
        <v>#REF!</v>
      </c>
      <c r="FB14" s="66" t="str">
        <f>AND(#REF!,"AAAAAGU/o50=")</f>
        <v>#REF!</v>
      </c>
      <c r="FC14" s="66" t="str">
        <f>AND(#REF!,"AAAAAGU/o54=")</f>
        <v>#REF!</v>
      </c>
      <c r="FD14" s="66" t="str">
        <f>IF(#REF!,"AAAAAGU/o58=",0)</f>
        <v>#REF!</v>
      </c>
      <c r="FE14" s="66" t="str">
        <f>AND(#REF!,"AAAAAGU/o6A=")</f>
        <v>#REF!</v>
      </c>
      <c r="FF14" s="66" t="str">
        <f>AND(#REF!,"AAAAAGU/o6E=")</f>
        <v>#REF!</v>
      </c>
      <c r="FG14" s="66" t="str">
        <f>AND(#REF!,"AAAAAGU/o6I=")</f>
        <v>#REF!</v>
      </c>
      <c r="FH14" s="66" t="str">
        <f>AND(#REF!,"AAAAAGU/o6M=")</f>
        <v>#REF!</v>
      </c>
      <c r="FI14" s="66" t="str">
        <f>AND(#REF!,"AAAAAGU/o6Q=")</f>
        <v>#REF!</v>
      </c>
      <c r="FJ14" s="66" t="str">
        <f>AND(#REF!,"AAAAAGU/o6U=")</f>
        <v>#REF!</v>
      </c>
      <c r="FK14" s="66" t="str">
        <f>AND(#REF!,"AAAAAGU/o6Y=")</f>
        <v>#REF!</v>
      </c>
      <c r="FL14" s="66" t="str">
        <f>AND(#REF!,"AAAAAGU/o6c=")</f>
        <v>#REF!</v>
      </c>
      <c r="FM14" s="66" t="str">
        <f>AND(#REF!,"AAAAAGU/o6g=")</f>
        <v>#REF!</v>
      </c>
      <c r="FN14" s="66" t="str">
        <f>AND(#REF!,"AAAAAGU/o6k=")</f>
        <v>#REF!</v>
      </c>
      <c r="FO14" s="66" t="str">
        <f>AND(#REF!,"AAAAAGU/o6o=")</f>
        <v>#REF!</v>
      </c>
      <c r="FP14" s="66" t="str">
        <f>AND(#REF!,"AAAAAGU/o6s=")</f>
        <v>#REF!</v>
      </c>
      <c r="FQ14" s="66" t="str">
        <f>AND(#REF!,"AAAAAGU/o6w=")</f>
        <v>#REF!</v>
      </c>
      <c r="FR14" s="66" t="str">
        <f>AND(#REF!,"AAAAAGU/o60=")</f>
        <v>#REF!</v>
      </c>
      <c r="FS14" s="66" t="str">
        <f>AND(#REF!,"AAAAAGU/o64=")</f>
        <v>#REF!</v>
      </c>
      <c r="FT14" s="66" t="str">
        <f>AND(#REF!,"AAAAAGU/o68=")</f>
        <v>#REF!</v>
      </c>
      <c r="FU14" s="66" t="str">
        <f>AND(#REF!,"AAAAAGU/o7A=")</f>
        <v>#REF!</v>
      </c>
      <c r="FV14" s="66" t="str">
        <f>AND(#REF!,"AAAAAGU/o7E=")</f>
        <v>#REF!</v>
      </c>
      <c r="FW14" s="66" t="str">
        <f>AND(#REF!,"AAAAAGU/o7I=")</f>
        <v>#REF!</v>
      </c>
      <c r="FX14" s="66" t="str">
        <f>AND(#REF!,"AAAAAGU/o7M=")</f>
        <v>#REF!</v>
      </c>
      <c r="FY14" s="66" t="str">
        <f>AND(#REF!,"AAAAAGU/o7Q=")</f>
        <v>#REF!</v>
      </c>
      <c r="FZ14" s="66" t="str">
        <f>AND(#REF!,"AAAAAGU/o7U=")</f>
        <v>#REF!</v>
      </c>
      <c r="GA14" s="66" t="str">
        <f>AND(#REF!,"AAAAAGU/o7Y=")</f>
        <v>#REF!</v>
      </c>
      <c r="GB14" s="66" t="str">
        <f>AND(#REF!,"AAAAAGU/o7c=")</f>
        <v>#REF!</v>
      </c>
      <c r="GC14" s="66" t="str">
        <f>AND(#REF!,"AAAAAGU/o7g=")</f>
        <v>#REF!</v>
      </c>
      <c r="GD14" s="66" t="str">
        <f>AND(#REF!,"AAAAAGU/o7k=")</f>
        <v>#REF!</v>
      </c>
      <c r="GE14" s="66" t="str">
        <f>AND(#REF!,"AAAAAGU/o7o=")</f>
        <v>#REF!</v>
      </c>
      <c r="GF14" s="66" t="str">
        <f>AND(#REF!,"AAAAAGU/o7s=")</f>
        <v>#REF!</v>
      </c>
      <c r="GG14" s="66" t="str">
        <f>AND(#REF!,"AAAAAGU/o7w=")</f>
        <v>#REF!</v>
      </c>
      <c r="GH14" s="66" t="str">
        <f>AND(#REF!,"AAAAAGU/o70=")</f>
        <v>#REF!</v>
      </c>
      <c r="GI14" s="66" t="str">
        <f>AND(#REF!,"AAAAAGU/o74=")</f>
        <v>#REF!</v>
      </c>
      <c r="GJ14" s="66" t="str">
        <f>AND(#REF!,"AAAAAGU/o78=")</f>
        <v>#REF!</v>
      </c>
      <c r="GK14" s="66" t="str">
        <f>AND(#REF!,"AAAAAGU/o8A=")</f>
        <v>#REF!</v>
      </c>
      <c r="GL14" s="66" t="str">
        <f>AND(#REF!,"AAAAAGU/o8E=")</f>
        <v>#REF!</v>
      </c>
      <c r="GM14" s="66" t="str">
        <f>AND(#REF!,"AAAAAGU/o8I=")</f>
        <v>#REF!</v>
      </c>
      <c r="GN14" s="66" t="str">
        <f>AND(#REF!,"AAAAAGU/o8M=")</f>
        <v>#REF!</v>
      </c>
      <c r="GO14" s="66" t="str">
        <f>AND(#REF!,"AAAAAGU/o8Q=")</f>
        <v>#REF!</v>
      </c>
      <c r="GP14" s="66" t="str">
        <f>AND(#REF!,"AAAAAGU/o8U=")</f>
        <v>#REF!</v>
      </c>
      <c r="GQ14" s="66" t="str">
        <f>AND(#REF!,"AAAAAGU/o8Y=")</f>
        <v>#REF!</v>
      </c>
      <c r="GR14" s="66" t="str">
        <f>AND(#REF!,"AAAAAGU/o8c=")</f>
        <v>#REF!</v>
      </c>
      <c r="GS14" s="66" t="str">
        <f>IF(#REF!,"AAAAAGU/o8g=",0)</f>
        <v>#REF!</v>
      </c>
      <c r="GT14" s="66" t="str">
        <f>AND(#REF!,"AAAAAGU/o8k=")</f>
        <v>#REF!</v>
      </c>
      <c r="GU14" s="66" t="str">
        <f>AND(#REF!,"AAAAAGU/o8o=")</f>
        <v>#REF!</v>
      </c>
      <c r="GV14" s="66" t="str">
        <f>AND(#REF!,"AAAAAGU/o8s=")</f>
        <v>#REF!</v>
      </c>
      <c r="GW14" s="66" t="str">
        <f>AND(#REF!,"AAAAAGU/o8w=")</f>
        <v>#REF!</v>
      </c>
      <c r="GX14" s="66" t="str">
        <f>AND(#REF!,"AAAAAGU/o80=")</f>
        <v>#REF!</v>
      </c>
      <c r="GY14" s="66" t="str">
        <f>AND(#REF!,"AAAAAGU/o84=")</f>
        <v>#REF!</v>
      </c>
      <c r="GZ14" s="66" t="str">
        <f>AND(#REF!,"AAAAAGU/o88=")</f>
        <v>#REF!</v>
      </c>
      <c r="HA14" s="66" t="str">
        <f>AND(#REF!,"AAAAAGU/o9A=")</f>
        <v>#REF!</v>
      </c>
      <c r="HB14" s="66" t="str">
        <f>AND(#REF!,"AAAAAGU/o9E=")</f>
        <v>#REF!</v>
      </c>
      <c r="HC14" s="66" t="str">
        <f>AND(#REF!,"AAAAAGU/o9I=")</f>
        <v>#REF!</v>
      </c>
      <c r="HD14" s="66" t="str">
        <f>AND(#REF!,"AAAAAGU/o9M=")</f>
        <v>#REF!</v>
      </c>
      <c r="HE14" s="66" t="str">
        <f>AND(#REF!,"AAAAAGU/o9Q=")</f>
        <v>#REF!</v>
      </c>
      <c r="HF14" s="66" t="str">
        <f>AND(#REF!,"AAAAAGU/o9U=")</f>
        <v>#REF!</v>
      </c>
      <c r="HG14" s="66" t="str">
        <f>AND(#REF!,"AAAAAGU/o9Y=")</f>
        <v>#REF!</v>
      </c>
      <c r="HH14" s="66" t="str">
        <f>AND(#REF!,"AAAAAGU/o9c=")</f>
        <v>#REF!</v>
      </c>
      <c r="HI14" s="66" t="str">
        <f>AND(#REF!,"AAAAAGU/o9g=")</f>
        <v>#REF!</v>
      </c>
      <c r="HJ14" s="66" t="str">
        <f>AND(#REF!,"AAAAAGU/o9k=")</f>
        <v>#REF!</v>
      </c>
      <c r="HK14" s="66" t="str">
        <f>AND(#REF!,"AAAAAGU/o9o=")</f>
        <v>#REF!</v>
      </c>
      <c r="HL14" s="66" t="str">
        <f>AND(#REF!,"AAAAAGU/o9s=")</f>
        <v>#REF!</v>
      </c>
      <c r="HM14" s="66" t="str">
        <f>AND(#REF!,"AAAAAGU/o9w=")</f>
        <v>#REF!</v>
      </c>
      <c r="HN14" s="66" t="str">
        <f>AND(#REF!,"AAAAAGU/o90=")</f>
        <v>#REF!</v>
      </c>
      <c r="HO14" s="66" t="str">
        <f>AND(#REF!,"AAAAAGU/o94=")</f>
        <v>#REF!</v>
      </c>
      <c r="HP14" s="66" t="str">
        <f>AND(#REF!,"AAAAAGU/o98=")</f>
        <v>#REF!</v>
      </c>
      <c r="HQ14" s="66" t="str">
        <f>AND(#REF!,"AAAAAGU/o+A=")</f>
        <v>#REF!</v>
      </c>
      <c r="HR14" s="66" t="str">
        <f>AND(#REF!,"AAAAAGU/o+E=")</f>
        <v>#REF!</v>
      </c>
      <c r="HS14" s="66" t="str">
        <f>AND(#REF!,"AAAAAGU/o+I=")</f>
        <v>#REF!</v>
      </c>
      <c r="HT14" s="66" t="str">
        <f>AND(#REF!,"AAAAAGU/o+M=")</f>
        <v>#REF!</v>
      </c>
      <c r="HU14" s="66" t="str">
        <f>AND(#REF!,"AAAAAGU/o+Q=")</f>
        <v>#REF!</v>
      </c>
      <c r="HV14" s="66" t="str">
        <f>AND(#REF!,"AAAAAGU/o+U=")</f>
        <v>#REF!</v>
      </c>
      <c r="HW14" s="66" t="str">
        <f>AND(#REF!,"AAAAAGU/o+Y=")</f>
        <v>#REF!</v>
      </c>
      <c r="HX14" s="66" t="str">
        <f>AND(#REF!,"AAAAAGU/o+c=")</f>
        <v>#REF!</v>
      </c>
      <c r="HY14" s="66" t="str">
        <f>AND(#REF!,"AAAAAGU/o+g=")</f>
        <v>#REF!</v>
      </c>
      <c r="HZ14" s="66" t="str">
        <f>AND(#REF!,"AAAAAGU/o+k=")</f>
        <v>#REF!</v>
      </c>
      <c r="IA14" s="66" t="str">
        <f>AND(#REF!,"AAAAAGU/o+o=")</f>
        <v>#REF!</v>
      </c>
      <c r="IB14" s="66" t="str">
        <f>AND(#REF!,"AAAAAGU/o+s=")</f>
        <v>#REF!</v>
      </c>
      <c r="IC14" s="66" t="str">
        <f>AND(#REF!,"AAAAAGU/o+w=")</f>
        <v>#REF!</v>
      </c>
      <c r="ID14" s="66" t="str">
        <f>AND(#REF!,"AAAAAGU/o+0=")</f>
        <v>#REF!</v>
      </c>
      <c r="IE14" s="66" t="str">
        <f>AND(#REF!,"AAAAAGU/o+4=")</f>
        <v>#REF!</v>
      </c>
      <c r="IF14" s="66" t="str">
        <f>AND(#REF!,"AAAAAGU/o+8=")</f>
        <v>#REF!</v>
      </c>
      <c r="IG14" s="66" t="str">
        <f>AND(#REF!,"AAAAAGU/o/A=")</f>
        <v>#REF!</v>
      </c>
      <c r="IH14" s="66" t="str">
        <f>IF(#REF!,"AAAAAGU/o/E=",0)</f>
        <v>#REF!</v>
      </c>
      <c r="II14" s="66" t="str">
        <f>AND(#REF!,"AAAAAGU/o/I=")</f>
        <v>#REF!</v>
      </c>
      <c r="IJ14" s="66" t="str">
        <f>AND(#REF!,"AAAAAGU/o/M=")</f>
        <v>#REF!</v>
      </c>
      <c r="IK14" s="66" t="str">
        <f>AND(#REF!,"AAAAAGU/o/Q=")</f>
        <v>#REF!</v>
      </c>
      <c r="IL14" s="66" t="str">
        <f>AND(#REF!,"AAAAAGU/o/U=")</f>
        <v>#REF!</v>
      </c>
      <c r="IM14" s="66" t="str">
        <f>AND(#REF!,"AAAAAGU/o/Y=")</f>
        <v>#REF!</v>
      </c>
      <c r="IN14" s="66" t="str">
        <f>AND(#REF!,"AAAAAGU/o/c=")</f>
        <v>#REF!</v>
      </c>
      <c r="IO14" s="66" t="str">
        <f>AND(#REF!,"AAAAAGU/o/g=")</f>
        <v>#REF!</v>
      </c>
      <c r="IP14" s="66" t="str">
        <f>AND(#REF!,"AAAAAGU/o/k=")</f>
        <v>#REF!</v>
      </c>
      <c r="IQ14" s="66" t="str">
        <f>AND(#REF!,"AAAAAGU/o/o=")</f>
        <v>#REF!</v>
      </c>
      <c r="IR14" s="66" t="str">
        <f>AND(#REF!,"AAAAAGU/o/s=")</f>
        <v>#REF!</v>
      </c>
      <c r="IS14" s="66" t="str">
        <f>AND(#REF!,"AAAAAGU/o/w=")</f>
        <v>#REF!</v>
      </c>
      <c r="IT14" s="66" t="str">
        <f>AND(#REF!,"AAAAAGU/o/0=")</f>
        <v>#REF!</v>
      </c>
      <c r="IU14" s="66" t="str">
        <f>AND(#REF!,"AAAAAGU/o/4=")</f>
        <v>#REF!</v>
      </c>
      <c r="IV14" s="66" t="str">
        <f>AND(#REF!,"AAAAAGU/o/8=")</f>
        <v>#REF!</v>
      </c>
    </row>
    <row r="15" ht="12.75" customHeight="1">
      <c r="A15" s="66" t="str">
        <f>AND(#REF!,"AAAAAG/e/wA=")</f>
        <v>#REF!</v>
      </c>
      <c r="B15" s="66" t="str">
        <f>AND(#REF!,"AAAAAG/e/wE=")</f>
        <v>#REF!</v>
      </c>
      <c r="C15" s="66" t="str">
        <f>AND(#REF!,"AAAAAG/e/wI=")</f>
        <v>#REF!</v>
      </c>
      <c r="D15" s="66" t="str">
        <f>AND(#REF!,"AAAAAG/e/wM=")</f>
        <v>#REF!</v>
      </c>
      <c r="E15" s="66" t="str">
        <f>AND(#REF!,"AAAAAG/e/wQ=")</f>
        <v>#REF!</v>
      </c>
      <c r="F15" s="66" t="str">
        <f>AND(#REF!,"AAAAAG/e/wU=")</f>
        <v>#REF!</v>
      </c>
      <c r="G15" s="66" t="str">
        <f>AND(#REF!,"AAAAAG/e/wY=")</f>
        <v>#REF!</v>
      </c>
      <c r="H15" s="66" t="str">
        <f>AND(#REF!,"AAAAAG/e/wc=")</f>
        <v>#REF!</v>
      </c>
      <c r="I15" s="66" t="str">
        <f>AND(#REF!,"AAAAAG/e/wg=")</f>
        <v>#REF!</v>
      </c>
      <c r="J15" s="66" t="str">
        <f>AND(#REF!,"AAAAAG/e/wk=")</f>
        <v>#REF!</v>
      </c>
      <c r="K15" s="66" t="str">
        <f>AND(#REF!,"AAAAAG/e/wo=")</f>
        <v>#REF!</v>
      </c>
      <c r="L15" s="66" t="str">
        <f>AND(#REF!,"AAAAAG/e/ws=")</f>
        <v>#REF!</v>
      </c>
      <c r="M15" s="66" t="str">
        <f>AND(#REF!,"AAAAAG/e/ww=")</f>
        <v>#REF!</v>
      </c>
      <c r="N15" s="66" t="str">
        <f>AND(#REF!,"AAAAAG/e/w0=")</f>
        <v>#REF!</v>
      </c>
      <c r="O15" s="66" t="str">
        <f>AND(#REF!,"AAAAAG/e/w4=")</f>
        <v>#REF!</v>
      </c>
      <c r="P15" s="66" t="str">
        <f>AND(#REF!,"AAAAAG/e/w8=")</f>
        <v>#REF!</v>
      </c>
      <c r="Q15" s="66" t="str">
        <f>AND(#REF!,"AAAAAG/e/xA=")</f>
        <v>#REF!</v>
      </c>
      <c r="R15" s="66" t="str">
        <f>AND(#REF!,"AAAAAG/e/xE=")</f>
        <v>#REF!</v>
      </c>
      <c r="S15" s="66" t="str">
        <f>AND(#REF!,"AAAAAG/e/xI=")</f>
        <v>#REF!</v>
      </c>
      <c r="T15" s="66" t="str">
        <f>AND(#REF!,"AAAAAG/e/xM=")</f>
        <v>#REF!</v>
      </c>
      <c r="U15" s="66" t="str">
        <f>AND(#REF!,"AAAAAG/e/xQ=")</f>
        <v>#REF!</v>
      </c>
      <c r="V15" s="66" t="str">
        <f>AND(#REF!,"AAAAAG/e/xU=")</f>
        <v>#REF!</v>
      </c>
      <c r="W15" s="66" t="str">
        <f>AND(#REF!,"AAAAAG/e/xY=")</f>
        <v>#REF!</v>
      </c>
      <c r="X15" s="66" t="str">
        <f>AND(#REF!,"AAAAAG/e/xc=")</f>
        <v>#REF!</v>
      </c>
      <c r="Y15" s="66" t="str">
        <f>AND(#REF!,"AAAAAG/e/xg=")</f>
        <v>#REF!</v>
      </c>
      <c r="Z15" s="66" t="str">
        <f>AND(#REF!,"AAAAAG/e/xk=")</f>
        <v>#REF!</v>
      </c>
      <c r="AA15" s="66" t="str">
        <f>IF(#REF!,"AAAAAG/e/xo=",0)</f>
        <v>#REF!</v>
      </c>
      <c r="AB15" s="66" t="str">
        <f>AND(#REF!,"AAAAAG/e/xs=")</f>
        <v>#REF!</v>
      </c>
      <c r="AC15" s="66" t="str">
        <f>AND(#REF!,"AAAAAG/e/xw=")</f>
        <v>#REF!</v>
      </c>
      <c r="AD15" s="66" t="str">
        <f>AND(#REF!,"AAAAAG/e/x0=")</f>
        <v>#REF!</v>
      </c>
      <c r="AE15" s="66" t="str">
        <f>AND(#REF!,"AAAAAG/e/x4=")</f>
        <v>#REF!</v>
      </c>
      <c r="AF15" s="66" t="str">
        <f>AND(#REF!,"AAAAAG/e/x8=")</f>
        <v>#REF!</v>
      </c>
      <c r="AG15" s="66" t="str">
        <f>AND(#REF!,"AAAAAG/e/yA=")</f>
        <v>#REF!</v>
      </c>
      <c r="AH15" s="66" t="str">
        <f>AND(#REF!,"AAAAAG/e/yE=")</f>
        <v>#REF!</v>
      </c>
      <c r="AI15" s="66" t="str">
        <f>AND(#REF!,"AAAAAG/e/yI=")</f>
        <v>#REF!</v>
      </c>
      <c r="AJ15" s="66" t="str">
        <f>AND(#REF!,"AAAAAG/e/yM=")</f>
        <v>#REF!</v>
      </c>
      <c r="AK15" s="66" t="str">
        <f>AND(#REF!,"AAAAAG/e/yQ=")</f>
        <v>#REF!</v>
      </c>
      <c r="AL15" s="66" t="str">
        <f>AND(#REF!,"AAAAAG/e/yU=")</f>
        <v>#REF!</v>
      </c>
      <c r="AM15" s="66" t="str">
        <f>AND(#REF!,"AAAAAG/e/yY=")</f>
        <v>#REF!</v>
      </c>
      <c r="AN15" s="66" t="str">
        <f>AND(#REF!,"AAAAAG/e/yc=")</f>
        <v>#REF!</v>
      </c>
      <c r="AO15" s="66" t="str">
        <f>AND(#REF!,"AAAAAG/e/yg=")</f>
        <v>#REF!</v>
      </c>
      <c r="AP15" s="66" t="str">
        <f>AND(#REF!,"AAAAAG/e/yk=")</f>
        <v>#REF!</v>
      </c>
      <c r="AQ15" s="66" t="str">
        <f>AND(#REF!,"AAAAAG/e/yo=")</f>
        <v>#REF!</v>
      </c>
      <c r="AR15" s="66" t="str">
        <f>AND(#REF!,"AAAAAG/e/ys=")</f>
        <v>#REF!</v>
      </c>
      <c r="AS15" s="66" t="str">
        <f>AND(#REF!,"AAAAAG/e/yw=")</f>
        <v>#REF!</v>
      </c>
      <c r="AT15" s="66" t="str">
        <f>AND(#REF!,"AAAAAG/e/y0=")</f>
        <v>#REF!</v>
      </c>
      <c r="AU15" s="66" t="str">
        <f>AND(#REF!,"AAAAAG/e/y4=")</f>
        <v>#REF!</v>
      </c>
      <c r="AV15" s="66" t="str">
        <f>AND(#REF!,"AAAAAG/e/y8=")</f>
        <v>#REF!</v>
      </c>
      <c r="AW15" s="66" t="str">
        <f>AND(#REF!,"AAAAAG/e/zA=")</f>
        <v>#REF!</v>
      </c>
      <c r="AX15" s="66" t="str">
        <f>AND(#REF!,"AAAAAG/e/zE=")</f>
        <v>#REF!</v>
      </c>
      <c r="AY15" s="66" t="str">
        <f>AND(#REF!,"AAAAAG/e/zI=")</f>
        <v>#REF!</v>
      </c>
      <c r="AZ15" s="66" t="str">
        <f>AND(#REF!,"AAAAAG/e/zM=")</f>
        <v>#REF!</v>
      </c>
      <c r="BA15" s="66" t="str">
        <f>AND(#REF!,"AAAAAG/e/zQ=")</f>
        <v>#REF!</v>
      </c>
      <c r="BB15" s="66" t="str">
        <f>AND(#REF!,"AAAAAG/e/zU=")</f>
        <v>#REF!</v>
      </c>
      <c r="BC15" s="66" t="str">
        <f>AND(#REF!,"AAAAAG/e/zY=")</f>
        <v>#REF!</v>
      </c>
      <c r="BD15" s="66" t="str">
        <f>AND(#REF!,"AAAAAG/e/zc=")</f>
        <v>#REF!</v>
      </c>
      <c r="BE15" s="66" t="str">
        <f>AND(#REF!,"AAAAAG/e/zg=")</f>
        <v>#REF!</v>
      </c>
      <c r="BF15" s="66" t="str">
        <f>AND(#REF!,"AAAAAG/e/zk=")</f>
        <v>#REF!</v>
      </c>
      <c r="BG15" s="66" t="str">
        <f>AND(#REF!,"AAAAAG/e/zo=")</f>
        <v>#REF!</v>
      </c>
      <c r="BH15" s="66" t="str">
        <f>AND(#REF!,"AAAAAG/e/zs=")</f>
        <v>#REF!</v>
      </c>
      <c r="BI15" s="66" t="str">
        <f>AND(#REF!,"AAAAAG/e/zw=")</f>
        <v>#REF!</v>
      </c>
      <c r="BJ15" s="66" t="str">
        <f>AND(#REF!,"AAAAAG/e/z0=")</f>
        <v>#REF!</v>
      </c>
      <c r="BK15" s="66" t="str">
        <f>AND(#REF!,"AAAAAG/e/z4=")</f>
        <v>#REF!</v>
      </c>
      <c r="BL15" s="66" t="str">
        <f>AND(#REF!,"AAAAAG/e/z8=")</f>
        <v>#REF!</v>
      </c>
      <c r="BM15" s="66" t="str">
        <f>AND(#REF!,"AAAAAG/e/0A=")</f>
        <v>#REF!</v>
      </c>
      <c r="BN15" s="66" t="str">
        <f>AND(#REF!,"AAAAAG/e/0E=")</f>
        <v>#REF!</v>
      </c>
      <c r="BO15" s="66" t="str">
        <f>AND(#REF!,"AAAAAG/e/0I=")</f>
        <v>#REF!</v>
      </c>
      <c r="BP15" s="66" t="str">
        <f>IF(#REF!,"AAAAAG/e/0M=",0)</f>
        <v>#REF!</v>
      </c>
      <c r="BQ15" s="66" t="str">
        <f>AND(#REF!,"AAAAAG/e/0Q=")</f>
        <v>#REF!</v>
      </c>
      <c r="BR15" s="66" t="str">
        <f>AND(#REF!,"AAAAAG/e/0U=")</f>
        <v>#REF!</v>
      </c>
      <c r="BS15" s="66" t="str">
        <f>AND(#REF!,"AAAAAG/e/0Y=")</f>
        <v>#REF!</v>
      </c>
      <c r="BT15" s="66" t="str">
        <f>AND(#REF!,"AAAAAG/e/0c=")</f>
        <v>#REF!</v>
      </c>
      <c r="BU15" s="66" t="str">
        <f>AND(#REF!,"AAAAAG/e/0g=")</f>
        <v>#REF!</v>
      </c>
      <c r="BV15" s="66" t="str">
        <f>AND(#REF!,"AAAAAG/e/0k=")</f>
        <v>#REF!</v>
      </c>
      <c r="BW15" s="66" t="str">
        <f>AND(#REF!,"AAAAAG/e/0o=")</f>
        <v>#REF!</v>
      </c>
      <c r="BX15" s="66" t="str">
        <f>AND(#REF!,"AAAAAG/e/0s=")</f>
        <v>#REF!</v>
      </c>
      <c r="BY15" s="66" t="str">
        <f>AND(#REF!,"AAAAAG/e/0w=")</f>
        <v>#REF!</v>
      </c>
      <c r="BZ15" s="66" t="str">
        <f>AND(#REF!,"AAAAAG/e/00=")</f>
        <v>#REF!</v>
      </c>
      <c r="CA15" s="66" t="str">
        <f>AND(#REF!,"AAAAAG/e/04=")</f>
        <v>#REF!</v>
      </c>
      <c r="CB15" s="66" t="str">
        <f>AND(#REF!,"AAAAAG/e/08=")</f>
        <v>#REF!</v>
      </c>
      <c r="CC15" s="66" t="str">
        <f>AND(#REF!,"AAAAAG/e/1A=")</f>
        <v>#REF!</v>
      </c>
      <c r="CD15" s="66" t="str">
        <f>AND(#REF!,"AAAAAG/e/1E=")</f>
        <v>#REF!</v>
      </c>
      <c r="CE15" s="66" t="str">
        <f>AND(#REF!,"AAAAAG/e/1I=")</f>
        <v>#REF!</v>
      </c>
      <c r="CF15" s="66" t="str">
        <f>AND(#REF!,"AAAAAG/e/1M=")</f>
        <v>#REF!</v>
      </c>
      <c r="CG15" s="66" t="str">
        <f>AND(#REF!,"AAAAAG/e/1Q=")</f>
        <v>#REF!</v>
      </c>
      <c r="CH15" s="66" t="str">
        <f>AND(#REF!,"AAAAAG/e/1U=")</f>
        <v>#REF!</v>
      </c>
      <c r="CI15" s="66" t="str">
        <f>AND(#REF!,"AAAAAG/e/1Y=")</f>
        <v>#REF!</v>
      </c>
      <c r="CJ15" s="66" t="str">
        <f>AND(#REF!,"AAAAAG/e/1c=")</f>
        <v>#REF!</v>
      </c>
      <c r="CK15" s="66" t="str">
        <f>AND(#REF!,"AAAAAG/e/1g=")</f>
        <v>#REF!</v>
      </c>
      <c r="CL15" s="66" t="str">
        <f>AND(#REF!,"AAAAAG/e/1k=")</f>
        <v>#REF!</v>
      </c>
      <c r="CM15" s="66" t="str">
        <f>AND(#REF!,"AAAAAG/e/1o=")</f>
        <v>#REF!</v>
      </c>
      <c r="CN15" s="66" t="str">
        <f>AND(#REF!,"AAAAAG/e/1s=")</f>
        <v>#REF!</v>
      </c>
      <c r="CO15" s="66" t="str">
        <f>AND(#REF!,"AAAAAG/e/1w=")</f>
        <v>#REF!</v>
      </c>
      <c r="CP15" s="66" t="str">
        <f>AND(#REF!,"AAAAAG/e/10=")</f>
        <v>#REF!</v>
      </c>
      <c r="CQ15" s="66" t="str">
        <f>AND(#REF!,"AAAAAG/e/14=")</f>
        <v>#REF!</v>
      </c>
      <c r="CR15" s="66" t="str">
        <f>AND(#REF!,"AAAAAG/e/18=")</f>
        <v>#REF!</v>
      </c>
      <c r="CS15" s="66" t="str">
        <f>AND(#REF!,"AAAAAG/e/2A=")</f>
        <v>#REF!</v>
      </c>
      <c r="CT15" s="66" t="str">
        <f>AND(#REF!,"AAAAAG/e/2E=")</f>
        <v>#REF!</v>
      </c>
      <c r="CU15" s="66" t="str">
        <f>AND(#REF!,"AAAAAG/e/2I=")</f>
        <v>#REF!</v>
      </c>
      <c r="CV15" s="66" t="str">
        <f>AND(#REF!,"AAAAAG/e/2M=")</f>
        <v>#REF!</v>
      </c>
      <c r="CW15" s="66" t="str">
        <f>AND(#REF!,"AAAAAG/e/2Q=")</f>
        <v>#REF!</v>
      </c>
      <c r="CX15" s="66" t="str">
        <f>AND(#REF!,"AAAAAG/e/2U=")</f>
        <v>#REF!</v>
      </c>
      <c r="CY15" s="66" t="str">
        <f>AND(#REF!,"AAAAAG/e/2Y=")</f>
        <v>#REF!</v>
      </c>
      <c r="CZ15" s="66" t="str">
        <f>AND(#REF!,"AAAAAG/e/2c=")</f>
        <v>#REF!</v>
      </c>
      <c r="DA15" s="66" t="str">
        <f>AND(#REF!,"AAAAAG/e/2g=")</f>
        <v>#REF!</v>
      </c>
      <c r="DB15" s="66" t="str">
        <f>AND(#REF!,"AAAAAG/e/2k=")</f>
        <v>#REF!</v>
      </c>
      <c r="DC15" s="66" t="str">
        <f>AND(#REF!,"AAAAAG/e/2o=")</f>
        <v>#REF!</v>
      </c>
      <c r="DD15" s="66" t="str">
        <f>AND(#REF!,"AAAAAG/e/2s=")</f>
        <v>#REF!</v>
      </c>
      <c r="DE15" s="66" t="str">
        <f>IF(#REF!,"AAAAAG/e/2w=",0)</f>
        <v>#REF!</v>
      </c>
      <c r="DF15" s="66" t="str">
        <f>AND(#REF!,"AAAAAG/e/20=")</f>
        <v>#REF!</v>
      </c>
      <c r="DG15" s="66" t="str">
        <f>AND(#REF!,"AAAAAG/e/24=")</f>
        <v>#REF!</v>
      </c>
      <c r="DH15" s="66" t="str">
        <f>AND(#REF!,"AAAAAG/e/28=")</f>
        <v>#REF!</v>
      </c>
      <c r="DI15" s="66" t="str">
        <f>AND(#REF!,"AAAAAG/e/3A=")</f>
        <v>#REF!</v>
      </c>
      <c r="DJ15" s="66" t="str">
        <f>AND(#REF!,"AAAAAG/e/3E=")</f>
        <v>#REF!</v>
      </c>
      <c r="DK15" s="66" t="str">
        <f>AND(#REF!,"AAAAAG/e/3I=")</f>
        <v>#REF!</v>
      </c>
      <c r="DL15" s="66" t="str">
        <f>AND(#REF!,"AAAAAG/e/3M=")</f>
        <v>#REF!</v>
      </c>
      <c r="DM15" s="66" t="str">
        <f>AND(#REF!,"AAAAAG/e/3Q=")</f>
        <v>#REF!</v>
      </c>
      <c r="DN15" s="66" t="str">
        <f>AND(#REF!,"AAAAAG/e/3U=")</f>
        <v>#REF!</v>
      </c>
      <c r="DO15" s="66" t="str">
        <f>AND(#REF!,"AAAAAG/e/3Y=")</f>
        <v>#REF!</v>
      </c>
      <c r="DP15" s="66" t="str">
        <f>AND(#REF!,"AAAAAG/e/3c=")</f>
        <v>#REF!</v>
      </c>
      <c r="DQ15" s="66" t="str">
        <f>AND(#REF!,"AAAAAG/e/3g=")</f>
        <v>#REF!</v>
      </c>
      <c r="DR15" s="66" t="str">
        <f>AND(#REF!,"AAAAAG/e/3k=")</f>
        <v>#REF!</v>
      </c>
      <c r="DS15" s="66" t="str">
        <f>AND(#REF!,"AAAAAG/e/3o=")</f>
        <v>#REF!</v>
      </c>
      <c r="DT15" s="66" t="str">
        <f>AND(#REF!,"AAAAAG/e/3s=")</f>
        <v>#REF!</v>
      </c>
      <c r="DU15" s="66" t="str">
        <f>AND(#REF!,"AAAAAG/e/3w=")</f>
        <v>#REF!</v>
      </c>
      <c r="DV15" s="66" t="str">
        <f>AND(#REF!,"AAAAAG/e/30=")</f>
        <v>#REF!</v>
      </c>
      <c r="DW15" s="66" t="str">
        <f>AND(#REF!,"AAAAAG/e/34=")</f>
        <v>#REF!</v>
      </c>
      <c r="DX15" s="66" t="str">
        <f>AND(#REF!,"AAAAAG/e/38=")</f>
        <v>#REF!</v>
      </c>
      <c r="DY15" s="66" t="str">
        <f>AND(#REF!,"AAAAAG/e/4A=")</f>
        <v>#REF!</v>
      </c>
      <c r="DZ15" s="66" t="str">
        <f>AND(#REF!,"AAAAAG/e/4E=")</f>
        <v>#REF!</v>
      </c>
      <c r="EA15" s="66" t="str">
        <f>AND(#REF!,"AAAAAG/e/4I=")</f>
        <v>#REF!</v>
      </c>
      <c r="EB15" s="66" t="str">
        <f>AND(#REF!,"AAAAAG/e/4M=")</f>
        <v>#REF!</v>
      </c>
      <c r="EC15" s="66" t="str">
        <f>AND(#REF!,"AAAAAG/e/4Q=")</f>
        <v>#REF!</v>
      </c>
      <c r="ED15" s="66" t="str">
        <f>AND(#REF!,"AAAAAG/e/4U=")</f>
        <v>#REF!</v>
      </c>
      <c r="EE15" s="66" t="str">
        <f>AND(#REF!,"AAAAAG/e/4Y=")</f>
        <v>#REF!</v>
      </c>
      <c r="EF15" s="66" t="str">
        <f>AND(#REF!,"AAAAAG/e/4c=")</f>
        <v>#REF!</v>
      </c>
      <c r="EG15" s="66" t="str">
        <f>AND(#REF!,"AAAAAG/e/4g=")</f>
        <v>#REF!</v>
      </c>
      <c r="EH15" s="66" t="str">
        <f>AND(#REF!,"AAAAAG/e/4k=")</f>
        <v>#REF!</v>
      </c>
      <c r="EI15" s="66" t="str">
        <f>AND(#REF!,"AAAAAG/e/4o=")</f>
        <v>#REF!</v>
      </c>
      <c r="EJ15" s="66" t="str">
        <f>AND(#REF!,"AAAAAG/e/4s=")</f>
        <v>#REF!</v>
      </c>
      <c r="EK15" s="66" t="str">
        <f>AND(#REF!,"AAAAAG/e/4w=")</f>
        <v>#REF!</v>
      </c>
      <c r="EL15" s="66" t="str">
        <f>AND(#REF!,"AAAAAG/e/40=")</f>
        <v>#REF!</v>
      </c>
      <c r="EM15" s="66" t="str">
        <f>AND(#REF!,"AAAAAG/e/44=")</f>
        <v>#REF!</v>
      </c>
      <c r="EN15" s="66" t="str">
        <f>AND(#REF!,"AAAAAG/e/48=")</f>
        <v>#REF!</v>
      </c>
      <c r="EO15" s="66" t="str">
        <f>AND(#REF!,"AAAAAG/e/5A=")</f>
        <v>#REF!</v>
      </c>
      <c r="EP15" s="66" t="str">
        <f>AND(#REF!,"AAAAAG/e/5E=")</f>
        <v>#REF!</v>
      </c>
      <c r="EQ15" s="66" t="str">
        <f>AND(#REF!,"AAAAAG/e/5I=")</f>
        <v>#REF!</v>
      </c>
      <c r="ER15" s="66" t="str">
        <f>AND(#REF!,"AAAAAG/e/5M=")</f>
        <v>#REF!</v>
      </c>
      <c r="ES15" s="66" t="str">
        <f>AND(#REF!,"AAAAAG/e/5Q=")</f>
        <v>#REF!</v>
      </c>
      <c r="ET15" s="66" t="str">
        <f>IF(#REF!,"AAAAAG/e/5U=",0)</f>
        <v>#REF!</v>
      </c>
      <c r="EU15" s="66" t="str">
        <f>AND(#REF!,"AAAAAG/e/5Y=")</f>
        <v>#REF!</v>
      </c>
      <c r="EV15" s="66" t="str">
        <f>AND(#REF!,"AAAAAG/e/5c=")</f>
        <v>#REF!</v>
      </c>
      <c r="EW15" s="66" t="str">
        <f>AND(#REF!,"AAAAAG/e/5g=")</f>
        <v>#REF!</v>
      </c>
      <c r="EX15" s="66" t="str">
        <f>AND(#REF!,"AAAAAG/e/5k=")</f>
        <v>#REF!</v>
      </c>
      <c r="EY15" s="66" t="str">
        <f>AND(#REF!,"AAAAAG/e/5o=")</f>
        <v>#REF!</v>
      </c>
      <c r="EZ15" s="66" t="str">
        <f>AND(#REF!,"AAAAAG/e/5s=")</f>
        <v>#REF!</v>
      </c>
      <c r="FA15" s="66" t="str">
        <f>AND(#REF!,"AAAAAG/e/5w=")</f>
        <v>#REF!</v>
      </c>
      <c r="FB15" s="66" t="str">
        <f>AND(#REF!,"AAAAAG/e/50=")</f>
        <v>#REF!</v>
      </c>
      <c r="FC15" s="66" t="str">
        <f>AND(#REF!,"AAAAAG/e/54=")</f>
        <v>#REF!</v>
      </c>
      <c r="FD15" s="66" t="str">
        <f>AND(#REF!,"AAAAAG/e/58=")</f>
        <v>#REF!</v>
      </c>
      <c r="FE15" s="66" t="str">
        <f>AND(#REF!,"AAAAAG/e/6A=")</f>
        <v>#REF!</v>
      </c>
      <c r="FF15" s="66" t="str">
        <f>AND(#REF!,"AAAAAG/e/6E=")</f>
        <v>#REF!</v>
      </c>
      <c r="FG15" s="66" t="str">
        <f>AND(#REF!,"AAAAAG/e/6I=")</f>
        <v>#REF!</v>
      </c>
      <c r="FH15" s="66" t="str">
        <f>AND(#REF!,"AAAAAG/e/6M=")</f>
        <v>#REF!</v>
      </c>
      <c r="FI15" s="66" t="str">
        <f>AND(#REF!,"AAAAAG/e/6Q=")</f>
        <v>#REF!</v>
      </c>
      <c r="FJ15" s="66" t="str">
        <f>AND(#REF!,"AAAAAG/e/6U=")</f>
        <v>#REF!</v>
      </c>
      <c r="FK15" s="66" t="str">
        <f>AND(#REF!,"AAAAAG/e/6Y=")</f>
        <v>#REF!</v>
      </c>
      <c r="FL15" s="66" t="str">
        <f>AND(#REF!,"AAAAAG/e/6c=")</f>
        <v>#REF!</v>
      </c>
      <c r="FM15" s="66" t="str">
        <f>AND(#REF!,"AAAAAG/e/6g=")</f>
        <v>#REF!</v>
      </c>
      <c r="FN15" s="66" t="str">
        <f>AND(#REF!,"AAAAAG/e/6k=")</f>
        <v>#REF!</v>
      </c>
      <c r="FO15" s="66" t="str">
        <f>AND(#REF!,"AAAAAG/e/6o=")</f>
        <v>#REF!</v>
      </c>
      <c r="FP15" s="66" t="str">
        <f>AND(#REF!,"AAAAAG/e/6s=")</f>
        <v>#REF!</v>
      </c>
      <c r="FQ15" s="66" t="str">
        <f>AND(#REF!,"AAAAAG/e/6w=")</f>
        <v>#REF!</v>
      </c>
      <c r="FR15" s="66" t="str">
        <f>AND(#REF!,"AAAAAG/e/60=")</f>
        <v>#REF!</v>
      </c>
      <c r="FS15" s="66" t="str">
        <f>AND(#REF!,"AAAAAG/e/64=")</f>
        <v>#REF!</v>
      </c>
      <c r="FT15" s="66" t="str">
        <f>AND(#REF!,"AAAAAG/e/68=")</f>
        <v>#REF!</v>
      </c>
      <c r="FU15" s="66" t="str">
        <f>AND(#REF!,"AAAAAG/e/7A=")</f>
        <v>#REF!</v>
      </c>
      <c r="FV15" s="66" t="str">
        <f>AND(#REF!,"AAAAAG/e/7E=")</f>
        <v>#REF!</v>
      </c>
      <c r="FW15" s="66" t="str">
        <f>AND(#REF!,"AAAAAG/e/7I=")</f>
        <v>#REF!</v>
      </c>
      <c r="FX15" s="66" t="str">
        <f>AND(#REF!,"AAAAAG/e/7M=")</f>
        <v>#REF!</v>
      </c>
      <c r="FY15" s="66" t="str">
        <f>AND(#REF!,"AAAAAG/e/7Q=")</f>
        <v>#REF!</v>
      </c>
      <c r="FZ15" s="66" t="str">
        <f>AND(#REF!,"AAAAAG/e/7U=")</f>
        <v>#REF!</v>
      </c>
      <c r="GA15" s="66" t="str">
        <f>AND(#REF!,"AAAAAG/e/7Y=")</f>
        <v>#REF!</v>
      </c>
      <c r="GB15" s="66" t="str">
        <f>AND(#REF!,"AAAAAG/e/7c=")</f>
        <v>#REF!</v>
      </c>
      <c r="GC15" s="66" t="str">
        <f>AND(#REF!,"AAAAAG/e/7g=")</f>
        <v>#REF!</v>
      </c>
      <c r="GD15" s="66" t="str">
        <f>AND(#REF!,"AAAAAG/e/7k=")</f>
        <v>#REF!</v>
      </c>
      <c r="GE15" s="66" t="str">
        <f>AND(#REF!,"AAAAAG/e/7o=")</f>
        <v>#REF!</v>
      </c>
      <c r="GF15" s="66" t="str">
        <f>AND(#REF!,"AAAAAG/e/7s=")</f>
        <v>#REF!</v>
      </c>
      <c r="GG15" s="66" t="str">
        <f>AND(#REF!,"AAAAAG/e/7w=")</f>
        <v>#REF!</v>
      </c>
      <c r="GH15" s="66" t="str">
        <f>AND(#REF!,"AAAAAG/e/70=")</f>
        <v>#REF!</v>
      </c>
      <c r="GI15" s="66" t="str">
        <f>IF(#REF!,"AAAAAG/e/74=",0)</f>
        <v>#REF!</v>
      </c>
      <c r="GJ15" s="66" t="str">
        <f>AND(#REF!,"AAAAAG/e/78=")</f>
        <v>#REF!</v>
      </c>
      <c r="GK15" s="66" t="str">
        <f>AND(#REF!,"AAAAAG/e/8A=")</f>
        <v>#REF!</v>
      </c>
      <c r="GL15" s="66" t="str">
        <f>AND(#REF!,"AAAAAG/e/8E=")</f>
        <v>#REF!</v>
      </c>
      <c r="GM15" s="66" t="str">
        <f>AND(#REF!,"AAAAAG/e/8I=")</f>
        <v>#REF!</v>
      </c>
      <c r="GN15" s="66" t="str">
        <f>AND(#REF!,"AAAAAG/e/8M=")</f>
        <v>#REF!</v>
      </c>
      <c r="GO15" s="66" t="str">
        <f>AND(#REF!,"AAAAAG/e/8Q=")</f>
        <v>#REF!</v>
      </c>
      <c r="GP15" s="66" t="str">
        <f>AND(#REF!,"AAAAAG/e/8U=")</f>
        <v>#REF!</v>
      </c>
      <c r="GQ15" s="66" t="str">
        <f>AND(#REF!,"AAAAAG/e/8Y=")</f>
        <v>#REF!</v>
      </c>
      <c r="GR15" s="66" t="str">
        <f>AND(#REF!,"AAAAAG/e/8c=")</f>
        <v>#REF!</v>
      </c>
      <c r="GS15" s="66" t="str">
        <f>AND(#REF!,"AAAAAG/e/8g=")</f>
        <v>#REF!</v>
      </c>
      <c r="GT15" s="66" t="str">
        <f>AND(#REF!,"AAAAAG/e/8k=")</f>
        <v>#REF!</v>
      </c>
      <c r="GU15" s="66" t="str">
        <f>AND(#REF!,"AAAAAG/e/8o=")</f>
        <v>#REF!</v>
      </c>
      <c r="GV15" s="66" t="str">
        <f>AND(#REF!,"AAAAAG/e/8s=")</f>
        <v>#REF!</v>
      </c>
      <c r="GW15" s="66" t="str">
        <f>AND(#REF!,"AAAAAG/e/8w=")</f>
        <v>#REF!</v>
      </c>
      <c r="GX15" s="66" t="str">
        <f>AND(#REF!,"AAAAAG/e/80=")</f>
        <v>#REF!</v>
      </c>
      <c r="GY15" s="66" t="str">
        <f>AND(#REF!,"AAAAAG/e/84=")</f>
        <v>#REF!</v>
      </c>
      <c r="GZ15" s="66" t="str">
        <f>AND(#REF!,"AAAAAG/e/88=")</f>
        <v>#REF!</v>
      </c>
      <c r="HA15" s="66" t="str">
        <f>AND(#REF!,"AAAAAG/e/9A=")</f>
        <v>#REF!</v>
      </c>
      <c r="HB15" s="66" t="str">
        <f>AND(#REF!,"AAAAAG/e/9E=")</f>
        <v>#REF!</v>
      </c>
      <c r="HC15" s="66" t="str">
        <f>AND(#REF!,"AAAAAG/e/9I=")</f>
        <v>#REF!</v>
      </c>
      <c r="HD15" s="66" t="str">
        <f>AND(#REF!,"AAAAAG/e/9M=")</f>
        <v>#REF!</v>
      </c>
      <c r="HE15" s="66" t="str">
        <f>AND(#REF!,"AAAAAG/e/9Q=")</f>
        <v>#REF!</v>
      </c>
      <c r="HF15" s="66" t="str">
        <f>AND(#REF!,"AAAAAG/e/9U=")</f>
        <v>#REF!</v>
      </c>
      <c r="HG15" s="66" t="str">
        <f>AND(#REF!,"AAAAAG/e/9Y=")</f>
        <v>#REF!</v>
      </c>
      <c r="HH15" s="66" t="str">
        <f>AND(#REF!,"AAAAAG/e/9c=")</f>
        <v>#REF!</v>
      </c>
      <c r="HI15" s="66" t="str">
        <f>AND(#REF!,"AAAAAG/e/9g=")</f>
        <v>#REF!</v>
      </c>
      <c r="HJ15" s="66" t="str">
        <f>AND(#REF!,"AAAAAG/e/9k=")</f>
        <v>#REF!</v>
      </c>
      <c r="HK15" s="66" t="str">
        <f>AND(#REF!,"AAAAAG/e/9o=")</f>
        <v>#REF!</v>
      </c>
      <c r="HL15" s="66" t="str">
        <f>AND(#REF!,"AAAAAG/e/9s=")</f>
        <v>#REF!</v>
      </c>
      <c r="HM15" s="66" t="str">
        <f>AND(#REF!,"AAAAAG/e/9w=")</f>
        <v>#REF!</v>
      </c>
      <c r="HN15" s="66" t="str">
        <f>AND(#REF!,"AAAAAG/e/90=")</f>
        <v>#REF!</v>
      </c>
      <c r="HO15" s="66" t="str">
        <f>AND(#REF!,"AAAAAG/e/94=")</f>
        <v>#REF!</v>
      </c>
      <c r="HP15" s="66" t="str">
        <f>AND(#REF!,"AAAAAG/e/98=")</f>
        <v>#REF!</v>
      </c>
      <c r="HQ15" s="66" t="str">
        <f>AND(#REF!,"AAAAAG/e/+A=")</f>
        <v>#REF!</v>
      </c>
      <c r="HR15" s="66" t="str">
        <f>AND(#REF!,"AAAAAG/e/+E=")</f>
        <v>#REF!</v>
      </c>
      <c r="HS15" s="66" t="str">
        <f>AND(#REF!,"AAAAAG/e/+I=")</f>
        <v>#REF!</v>
      </c>
      <c r="HT15" s="66" t="str">
        <f>AND(#REF!,"AAAAAG/e/+M=")</f>
        <v>#REF!</v>
      </c>
      <c r="HU15" s="66" t="str">
        <f>AND(#REF!,"AAAAAG/e/+Q=")</f>
        <v>#REF!</v>
      </c>
      <c r="HV15" s="66" t="str">
        <f>AND(#REF!,"AAAAAG/e/+U=")</f>
        <v>#REF!</v>
      </c>
      <c r="HW15" s="66" t="str">
        <f>AND(#REF!,"AAAAAG/e/+Y=")</f>
        <v>#REF!</v>
      </c>
      <c r="HX15" s="66" t="str">
        <f>IF(#REF!,"AAAAAG/e/+c=",0)</f>
        <v>#REF!</v>
      </c>
      <c r="HY15" s="66" t="str">
        <f>AND(#REF!,"AAAAAG/e/+g=")</f>
        <v>#REF!</v>
      </c>
      <c r="HZ15" s="66" t="str">
        <f>AND(#REF!,"AAAAAG/e/+k=")</f>
        <v>#REF!</v>
      </c>
      <c r="IA15" s="66" t="str">
        <f>AND(#REF!,"AAAAAG/e/+o=")</f>
        <v>#REF!</v>
      </c>
      <c r="IB15" s="66" t="str">
        <f>AND(#REF!,"AAAAAG/e/+s=")</f>
        <v>#REF!</v>
      </c>
      <c r="IC15" s="66" t="str">
        <f>AND(#REF!,"AAAAAG/e/+w=")</f>
        <v>#REF!</v>
      </c>
      <c r="ID15" s="66" t="str">
        <f>AND(#REF!,"AAAAAG/e/+0=")</f>
        <v>#REF!</v>
      </c>
      <c r="IE15" s="66" t="str">
        <f>AND(#REF!,"AAAAAG/e/+4=")</f>
        <v>#REF!</v>
      </c>
      <c r="IF15" s="66" t="str">
        <f>AND(#REF!,"AAAAAG/e/+8=")</f>
        <v>#REF!</v>
      </c>
      <c r="IG15" s="66" t="str">
        <f>AND(#REF!,"AAAAAG/e//A=")</f>
        <v>#REF!</v>
      </c>
      <c r="IH15" s="66" t="str">
        <f>AND(#REF!,"AAAAAG/e//E=")</f>
        <v>#REF!</v>
      </c>
      <c r="II15" s="66" t="str">
        <f>AND(#REF!,"AAAAAG/e//I=")</f>
        <v>#REF!</v>
      </c>
      <c r="IJ15" s="66" t="str">
        <f>AND(#REF!,"AAAAAG/e//M=")</f>
        <v>#REF!</v>
      </c>
      <c r="IK15" s="66" t="str">
        <f>AND(#REF!,"AAAAAG/e//Q=")</f>
        <v>#REF!</v>
      </c>
      <c r="IL15" s="66" t="str">
        <f>AND(#REF!,"AAAAAG/e//U=")</f>
        <v>#REF!</v>
      </c>
      <c r="IM15" s="66" t="str">
        <f>AND(#REF!,"AAAAAG/e//Y=")</f>
        <v>#REF!</v>
      </c>
      <c r="IN15" s="66" t="str">
        <f>AND(#REF!,"AAAAAG/e//c=")</f>
        <v>#REF!</v>
      </c>
      <c r="IO15" s="66" t="str">
        <f>AND(#REF!,"AAAAAG/e//g=")</f>
        <v>#REF!</v>
      </c>
      <c r="IP15" s="66" t="str">
        <f>AND(#REF!,"AAAAAG/e//k=")</f>
        <v>#REF!</v>
      </c>
      <c r="IQ15" s="66" t="str">
        <f>AND(#REF!,"AAAAAG/e//o=")</f>
        <v>#REF!</v>
      </c>
      <c r="IR15" s="66" t="str">
        <f>AND(#REF!,"AAAAAG/e//s=")</f>
        <v>#REF!</v>
      </c>
      <c r="IS15" s="66" t="str">
        <f>AND(#REF!,"AAAAAG/e//w=")</f>
        <v>#REF!</v>
      </c>
      <c r="IT15" s="66" t="str">
        <f>AND(#REF!,"AAAAAG/e//0=")</f>
        <v>#REF!</v>
      </c>
      <c r="IU15" s="66" t="str">
        <f>AND(#REF!,"AAAAAG/e//4=")</f>
        <v>#REF!</v>
      </c>
      <c r="IV15" s="66" t="str">
        <f>AND(#REF!,"AAAAAG/e//8=")</f>
        <v>#REF!</v>
      </c>
    </row>
    <row r="16" ht="12.75" customHeight="1">
      <c r="A16" s="66" t="str">
        <f>AND(#REF!,"AAAAAB/07QA=")</f>
        <v>#REF!</v>
      </c>
      <c r="B16" s="66" t="str">
        <f>AND(#REF!,"AAAAAB/07QE=")</f>
        <v>#REF!</v>
      </c>
      <c r="C16" s="66" t="str">
        <f>AND(#REF!,"AAAAAB/07QI=")</f>
        <v>#REF!</v>
      </c>
      <c r="D16" s="66" t="str">
        <f>AND(#REF!,"AAAAAB/07QM=")</f>
        <v>#REF!</v>
      </c>
      <c r="E16" s="66" t="str">
        <f>AND(#REF!,"AAAAAB/07QQ=")</f>
        <v>#REF!</v>
      </c>
      <c r="F16" s="66" t="str">
        <f>AND(#REF!,"AAAAAB/07QU=")</f>
        <v>#REF!</v>
      </c>
      <c r="G16" s="66" t="str">
        <f>AND(#REF!,"AAAAAB/07QY=")</f>
        <v>#REF!</v>
      </c>
      <c r="H16" s="66" t="str">
        <f>AND(#REF!,"AAAAAB/07Qc=")</f>
        <v>#REF!</v>
      </c>
      <c r="I16" s="66" t="str">
        <f>AND(#REF!,"AAAAAB/07Qg=")</f>
        <v>#REF!</v>
      </c>
      <c r="J16" s="66" t="str">
        <f>AND(#REF!,"AAAAAB/07Qk=")</f>
        <v>#REF!</v>
      </c>
      <c r="K16" s="66" t="str">
        <f>AND(#REF!,"AAAAAB/07Qo=")</f>
        <v>#REF!</v>
      </c>
      <c r="L16" s="66" t="str">
        <f>AND(#REF!,"AAAAAB/07Qs=")</f>
        <v>#REF!</v>
      </c>
      <c r="M16" s="66" t="str">
        <f>AND(#REF!,"AAAAAB/07Qw=")</f>
        <v>#REF!</v>
      </c>
      <c r="N16" s="66" t="str">
        <f>AND(#REF!,"AAAAAB/07Q0=")</f>
        <v>#REF!</v>
      </c>
      <c r="O16" s="66" t="str">
        <f>AND(#REF!,"AAAAAB/07Q4=")</f>
        <v>#REF!</v>
      </c>
      <c r="P16" s="66" t="str">
        <f>AND(#REF!,"AAAAAB/07Q8=")</f>
        <v>#REF!</v>
      </c>
      <c r="Q16" s="66" t="str">
        <f>IF(#REF!,"AAAAAB/07RA=",0)</f>
        <v>#REF!</v>
      </c>
      <c r="R16" s="66" t="str">
        <f>AND(#REF!,"AAAAAB/07RE=")</f>
        <v>#REF!</v>
      </c>
      <c r="S16" s="66" t="str">
        <f>AND(#REF!,"AAAAAB/07RI=")</f>
        <v>#REF!</v>
      </c>
      <c r="T16" s="66" t="str">
        <f>AND(#REF!,"AAAAAB/07RM=")</f>
        <v>#REF!</v>
      </c>
      <c r="U16" s="66" t="str">
        <f>AND(#REF!,"AAAAAB/07RQ=")</f>
        <v>#REF!</v>
      </c>
      <c r="V16" s="66" t="str">
        <f>AND(#REF!,"AAAAAB/07RU=")</f>
        <v>#REF!</v>
      </c>
      <c r="W16" s="66" t="str">
        <f>AND(#REF!,"AAAAAB/07RY=")</f>
        <v>#REF!</v>
      </c>
      <c r="X16" s="66" t="str">
        <f>AND(#REF!,"AAAAAB/07Rc=")</f>
        <v>#REF!</v>
      </c>
      <c r="Y16" s="66" t="str">
        <f>AND(#REF!,"AAAAAB/07Rg=")</f>
        <v>#REF!</v>
      </c>
      <c r="Z16" s="66" t="str">
        <f>AND(#REF!,"AAAAAB/07Rk=")</f>
        <v>#REF!</v>
      </c>
      <c r="AA16" s="66" t="str">
        <f>AND(#REF!,"AAAAAB/07Ro=")</f>
        <v>#REF!</v>
      </c>
      <c r="AB16" s="66" t="str">
        <f>AND(#REF!,"AAAAAB/07Rs=")</f>
        <v>#REF!</v>
      </c>
      <c r="AC16" s="66" t="str">
        <f>AND(#REF!,"AAAAAB/07Rw=")</f>
        <v>#REF!</v>
      </c>
      <c r="AD16" s="66" t="str">
        <f>AND(#REF!,"AAAAAB/07R0=")</f>
        <v>#REF!</v>
      </c>
      <c r="AE16" s="66" t="str">
        <f>AND(#REF!,"AAAAAB/07R4=")</f>
        <v>#REF!</v>
      </c>
      <c r="AF16" s="66" t="str">
        <f>AND(#REF!,"AAAAAB/07R8=")</f>
        <v>#REF!</v>
      </c>
      <c r="AG16" s="66" t="str">
        <f>AND(#REF!,"AAAAAB/07SA=")</f>
        <v>#REF!</v>
      </c>
      <c r="AH16" s="66" t="str">
        <f>AND(#REF!,"AAAAAB/07SE=")</f>
        <v>#REF!</v>
      </c>
      <c r="AI16" s="66" t="str">
        <f>AND(#REF!,"AAAAAB/07SI=")</f>
        <v>#REF!</v>
      </c>
      <c r="AJ16" s="66" t="str">
        <f>AND(#REF!,"AAAAAB/07SM=")</f>
        <v>#REF!</v>
      </c>
      <c r="AK16" s="66" t="str">
        <f>AND(#REF!,"AAAAAB/07SQ=")</f>
        <v>#REF!</v>
      </c>
      <c r="AL16" s="66" t="str">
        <f>AND(#REF!,"AAAAAB/07SU=")</f>
        <v>#REF!</v>
      </c>
      <c r="AM16" s="66" t="str">
        <f>AND(#REF!,"AAAAAB/07SY=")</f>
        <v>#REF!</v>
      </c>
      <c r="AN16" s="66" t="str">
        <f>AND(#REF!,"AAAAAB/07Sc=")</f>
        <v>#REF!</v>
      </c>
      <c r="AO16" s="66" t="str">
        <f>AND(#REF!,"AAAAAB/07Sg=")</f>
        <v>#REF!</v>
      </c>
      <c r="AP16" s="66" t="str">
        <f>AND(#REF!,"AAAAAB/07Sk=")</f>
        <v>#REF!</v>
      </c>
      <c r="AQ16" s="66" t="str">
        <f>AND(#REF!,"AAAAAB/07So=")</f>
        <v>#REF!</v>
      </c>
      <c r="AR16" s="66" t="str">
        <f>AND(#REF!,"AAAAAB/07Ss=")</f>
        <v>#REF!</v>
      </c>
      <c r="AS16" s="66" t="str">
        <f>AND(#REF!,"AAAAAB/07Sw=")</f>
        <v>#REF!</v>
      </c>
      <c r="AT16" s="66" t="str">
        <f>AND(#REF!,"AAAAAB/07S0=")</f>
        <v>#REF!</v>
      </c>
      <c r="AU16" s="66" t="str">
        <f>AND(#REF!,"AAAAAB/07S4=")</f>
        <v>#REF!</v>
      </c>
      <c r="AV16" s="66" t="str">
        <f>AND(#REF!,"AAAAAB/07S8=")</f>
        <v>#REF!</v>
      </c>
      <c r="AW16" s="66" t="str">
        <f>AND(#REF!,"AAAAAB/07TA=")</f>
        <v>#REF!</v>
      </c>
      <c r="AX16" s="66" t="str">
        <f>AND(#REF!,"AAAAAB/07TE=")</f>
        <v>#REF!</v>
      </c>
      <c r="AY16" s="66" t="str">
        <f>AND(#REF!,"AAAAAB/07TI=")</f>
        <v>#REF!</v>
      </c>
      <c r="AZ16" s="66" t="str">
        <f>AND(#REF!,"AAAAAB/07TM=")</f>
        <v>#REF!</v>
      </c>
      <c r="BA16" s="66" t="str">
        <f>AND(#REF!,"AAAAAB/07TQ=")</f>
        <v>#REF!</v>
      </c>
      <c r="BB16" s="66" t="str">
        <f>AND(#REF!,"AAAAAB/07TU=")</f>
        <v>#REF!</v>
      </c>
      <c r="BC16" s="66" t="str">
        <f>AND(#REF!,"AAAAAB/07TY=")</f>
        <v>#REF!</v>
      </c>
      <c r="BD16" s="66" t="str">
        <f>AND(#REF!,"AAAAAB/07Tc=")</f>
        <v>#REF!</v>
      </c>
      <c r="BE16" s="66" t="str">
        <f>AND(#REF!,"AAAAAB/07Tg=")</f>
        <v>#REF!</v>
      </c>
      <c r="BF16" s="66" t="str">
        <f>IF(#REF!,"AAAAAB/07Tk=",0)</f>
        <v>#REF!</v>
      </c>
      <c r="BG16" s="66" t="str">
        <f>AND(#REF!,"AAAAAB/07To=")</f>
        <v>#REF!</v>
      </c>
      <c r="BH16" s="66" t="str">
        <f>AND(#REF!,"AAAAAB/07Ts=")</f>
        <v>#REF!</v>
      </c>
      <c r="BI16" s="66" t="str">
        <f>AND(#REF!,"AAAAAB/07Tw=")</f>
        <v>#REF!</v>
      </c>
      <c r="BJ16" s="66" t="str">
        <f>AND(#REF!,"AAAAAB/07T0=")</f>
        <v>#REF!</v>
      </c>
      <c r="BK16" s="66" t="str">
        <f>AND(#REF!,"AAAAAB/07T4=")</f>
        <v>#REF!</v>
      </c>
      <c r="BL16" s="66" t="str">
        <f>AND(#REF!,"AAAAAB/07T8=")</f>
        <v>#REF!</v>
      </c>
      <c r="BM16" s="66" t="str">
        <f>AND(#REF!,"AAAAAB/07UA=")</f>
        <v>#REF!</v>
      </c>
      <c r="BN16" s="66" t="str">
        <f>AND(#REF!,"AAAAAB/07UE=")</f>
        <v>#REF!</v>
      </c>
      <c r="BO16" s="66" t="str">
        <f>AND(#REF!,"AAAAAB/07UI=")</f>
        <v>#REF!</v>
      </c>
      <c r="BP16" s="66" t="str">
        <f>AND(#REF!,"AAAAAB/07UM=")</f>
        <v>#REF!</v>
      </c>
      <c r="BQ16" s="66" t="str">
        <f>AND(#REF!,"AAAAAB/07UQ=")</f>
        <v>#REF!</v>
      </c>
      <c r="BR16" s="66" t="str">
        <f>AND(#REF!,"AAAAAB/07UU=")</f>
        <v>#REF!</v>
      </c>
      <c r="BS16" s="66" t="str">
        <f>AND(#REF!,"AAAAAB/07UY=")</f>
        <v>#REF!</v>
      </c>
      <c r="BT16" s="66" t="str">
        <f>AND(#REF!,"AAAAAB/07Uc=")</f>
        <v>#REF!</v>
      </c>
      <c r="BU16" s="66" t="str">
        <f>AND(#REF!,"AAAAAB/07Ug=")</f>
        <v>#REF!</v>
      </c>
      <c r="BV16" s="66" t="str">
        <f>AND(#REF!,"AAAAAB/07Uk=")</f>
        <v>#REF!</v>
      </c>
      <c r="BW16" s="66" t="str">
        <f>AND(#REF!,"AAAAAB/07Uo=")</f>
        <v>#REF!</v>
      </c>
      <c r="BX16" s="66" t="str">
        <f>AND(#REF!,"AAAAAB/07Us=")</f>
        <v>#REF!</v>
      </c>
      <c r="BY16" s="66" t="str">
        <f>AND(#REF!,"AAAAAB/07Uw=")</f>
        <v>#REF!</v>
      </c>
      <c r="BZ16" s="66" t="str">
        <f>AND(#REF!,"AAAAAB/07U0=")</f>
        <v>#REF!</v>
      </c>
      <c r="CA16" s="66" t="str">
        <f>AND(#REF!,"AAAAAB/07U4=")</f>
        <v>#REF!</v>
      </c>
      <c r="CB16" s="66" t="str">
        <f>AND(#REF!,"AAAAAB/07U8=")</f>
        <v>#REF!</v>
      </c>
      <c r="CC16" s="66" t="str">
        <f>AND(#REF!,"AAAAAB/07VA=")</f>
        <v>#REF!</v>
      </c>
      <c r="CD16" s="66" t="str">
        <f>AND(#REF!,"AAAAAB/07VE=")</f>
        <v>#REF!</v>
      </c>
      <c r="CE16" s="66" t="str">
        <f>AND(#REF!,"AAAAAB/07VI=")</f>
        <v>#REF!</v>
      </c>
      <c r="CF16" s="66" t="str">
        <f>AND(#REF!,"AAAAAB/07VM=")</f>
        <v>#REF!</v>
      </c>
      <c r="CG16" s="66" t="str">
        <f>AND(#REF!,"AAAAAB/07VQ=")</f>
        <v>#REF!</v>
      </c>
      <c r="CH16" s="66" t="str">
        <f>AND(#REF!,"AAAAAB/07VU=")</f>
        <v>#REF!</v>
      </c>
      <c r="CI16" s="66" t="str">
        <f>AND(#REF!,"AAAAAB/07VY=")</f>
        <v>#REF!</v>
      </c>
      <c r="CJ16" s="66" t="str">
        <f>AND(#REF!,"AAAAAB/07Vc=")</f>
        <v>#REF!</v>
      </c>
      <c r="CK16" s="66" t="str">
        <f>AND(#REF!,"AAAAAB/07Vg=")</f>
        <v>#REF!</v>
      </c>
      <c r="CL16" s="66" t="str">
        <f>AND(#REF!,"AAAAAB/07Vk=")</f>
        <v>#REF!</v>
      </c>
      <c r="CM16" s="66" t="str">
        <f>AND(#REF!,"AAAAAB/07Vo=")</f>
        <v>#REF!</v>
      </c>
      <c r="CN16" s="66" t="str">
        <f>AND(#REF!,"AAAAAB/07Vs=")</f>
        <v>#REF!</v>
      </c>
      <c r="CO16" s="66" t="str">
        <f>AND(#REF!,"AAAAAB/07Vw=")</f>
        <v>#REF!</v>
      </c>
      <c r="CP16" s="66" t="str">
        <f>AND(#REF!,"AAAAAB/07V0=")</f>
        <v>#REF!</v>
      </c>
      <c r="CQ16" s="66" t="str">
        <f>AND(#REF!,"AAAAAB/07V4=")</f>
        <v>#REF!</v>
      </c>
      <c r="CR16" s="66" t="str">
        <f>AND(#REF!,"AAAAAB/07V8=")</f>
        <v>#REF!</v>
      </c>
      <c r="CS16" s="66" t="str">
        <f>AND(#REF!,"AAAAAB/07WA=")</f>
        <v>#REF!</v>
      </c>
      <c r="CT16" s="66" t="str">
        <f>AND(#REF!,"AAAAAB/07WE=")</f>
        <v>#REF!</v>
      </c>
      <c r="CU16" s="66" t="str">
        <f>IF(#REF!,"AAAAAB/07WI=",0)</f>
        <v>#REF!</v>
      </c>
      <c r="CV16" s="66" t="str">
        <f>AND(#REF!,"AAAAAB/07WM=")</f>
        <v>#REF!</v>
      </c>
      <c r="CW16" s="66" t="str">
        <f>AND(#REF!,"AAAAAB/07WQ=")</f>
        <v>#REF!</v>
      </c>
      <c r="CX16" s="66" t="str">
        <f>AND(#REF!,"AAAAAB/07WU=")</f>
        <v>#REF!</v>
      </c>
      <c r="CY16" s="66" t="str">
        <f>AND(#REF!,"AAAAAB/07WY=")</f>
        <v>#REF!</v>
      </c>
      <c r="CZ16" s="66" t="str">
        <f>AND(#REF!,"AAAAAB/07Wc=")</f>
        <v>#REF!</v>
      </c>
      <c r="DA16" s="66" t="str">
        <f>AND(#REF!,"AAAAAB/07Wg=")</f>
        <v>#REF!</v>
      </c>
      <c r="DB16" s="66" t="str">
        <f>AND(#REF!,"AAAAAB/07Wk=")</f>
        <v>#REF!</v>
      </c>
      <c r="DC16" s="66" t="str">
        <f>AND(#REF!,"AAAAAB/07Wo=")</f>
        <v>#REF!</v>
      </c>
      <c r="DD16" s="66" t="str">
        <f>AND(#REF!,"AAAAAB/07Ws=")</f>
        <v>#REF!</v>
      </c>
      <c r="DE16" s="66" t="str">
        <f>AND(#REF!,"AAAAAB/07Ww=")</f>
        <v>#REF!</v>
      </c>
      <c r="DF16" s="66" t="str">
        <f>AND(#REF!,"AAAAAB/07W0=")</f>
        <v>#REF!</v>
      </c>
      <c r="DG16" s="66" t="str">
        <f>AND(#REF!,"AAAAAB/07W4=")</f>
        <v>#REF!</v>
      </c>
      <c r="DH16" s="66" t="str">
        <f>AND(#REF!,"AAAAAB/07W8=")</f>
        <v>#REF!</v>
      </c>
      <c r="DI16" s="66" t="str">
        <f>AND(#REF!,"AAAAAB/07XA=")</f>
        <v>#REF!</v>
      </c>
      <c r="DJ16" s="66" t="str">
        <f>AND(#REF!,"AAAAAB/07XE=")</f>
        <v>#REF!</v>
      </c>
      <c r="DK16" s="66" t="str">
        <f>AND(#REF!,"AAAAAB/07XI=")</f>
        <v>#REF!</v>
      </c>
      <c r="DL16" s="66" t="str">
        <f>AND(#REF!,"AAAAAB/07XM=")</f>
        <v>#REF!</v>
      </c>
      <c r="DM16" s="66" t="str">
        <f>AND(#REF!,"AAAAAB/07XQ=")</f>
        <v>#REF!</v>
      </c>
      <c r="DN16" s="66" t="str">
        <f>AND(#REF!,"AAAAAB/07XU=")</f>
        <v>#REF!</v>
      </c>
      <c r="DO16" s="66" t="str">
        <f>AND(#REF!,"AAAAAB/07XY=")</f>
        <v>#REF!</v>
      </c>
      <c r="DP16" s="66" t="str">
        <f>AND(#REF!,"AAAAAB/07Xc=")</f>
        <v>#REF!</v>
      </c>
      <c r="DQ16" s="66" t="str">
        <f>AND(#REF!,"AAAAAB/07Xg=")</f>
        <v>#REF!</v>
      </c>
      <c r="DR16" s="66" t="str">
        <f>AND(#REF!,"AAAAAB/07Xk=")</f>
        <v>#REF!</v>
      </c>
      <c r="DS16" s="66" t="str">
        <f>AND(#REF!,"AAAAAB/07Xo=")</f>
        <v>#REF!</v>
      </c>
      <c r="DT16" s="66" t="str">
        <f>AND(#REF!,"AAAAAB/07Xs=")</f>
        <v>#REF!</v>
      </c>
      <c r="DU16" s="66" t="str">
        <f>AND(#REF!,"AAAAAB/07Xw=")</f>
        <v>#REF!</v>
      </c>
      <c r="DV16" s="66" t="str">
        <f>AND(#REF!,"AAAAAB/07X0=")</f>
        <v>#REF!</v>
      </c>
      <c r="DW16" s="66" t="str">
        <f>AND(#REF!,"AAAAAB/07X4=")</f>
        <v>#REF!</v>
      </c>
      <c r="DX16" s="66" t="str">
        <f>AND(#REF!,"AAAAAB/07X8=")</f>
        <v>#REF!</v>
      </c>
      <c r="DY16" s="66" t="str">
        <f>AND(#REF!,"AAAAAB/07YA=")</f>
        <v>#REF!</v>
      </c>
      <c r="DZ16" s="66" t="str">
        <f>AND(#REF!,"AAAAAB/07YE=")</f>
        <v>#REF!</v>
      </c>
      <c r="EA16" s="66" t="str">
        <f>AND(#REF!,"AAAAAB/07YI=")</f>
        <v>#REF!</v>
      </c>
      <c r="EB16" s="66" t="str">
        <f>AND(#REF!,"AAAAAB/07YM=")</f>
        <v>#REF!</v>
      </c>
      <c r="EC16" s="66" t="str">
        <f>AND(#REF!,"AAAAAB/07YQ=")</f>
        <v>#REF!</v>
      </c>
      <c r="ED16" s="66" t="str">
        <f>AND(#REF!,"AAAAAB/07YU=")</f>
        <v>#REF!</v>
      </c>
      <c r="EE16" s="66" t="str">
        <f>AND(#REF!,"AAAAAB/07YY=")</f>
        <v>#REF!</v>
      </c>
      <c r="EF16" s="66" t="str">
        <f>AND(#REF!,"AAAAAB/07Yc=")</f>
        <v>#REF!</v>
      </c>
      <c r="EG16" s="66" t="str">
        <f>AND(#REF!,"AAAAAB/07Yg=")</f>
        <v>#REF!</v>
      </c>
      <c r="EH16" s="66" t="str">
        <f>AND(#REF!,"AAAAAB/07Yk=")</f>
        <v>#REF!</v>
      </c>
      <c r="EI16" s="66" t="str">
        <f>AND(#REF!,"AAAAAB/07Yo=")</f>
        <v>#REF!</v>
      </c>
      <c r="EJ16" s="66" t="str">
        <f>IF(#REF!,"AAAAAB/07Ys=",0)</f>
        <v>#REF!</v>
      </c>
      <c r="EK16" s="66" t="str">
        <f>AND(#REF!,"AAAAAB/07Yw=")</f>
        <v>#REF!</v>
      </c>
      <c r="EL16" s="66" t="str">
        <f>AND(#REF!,"AAAAAB/07Y0=")</f>
        <v>#REF!</v>
      </c>
      <c r="EM16" s="66" t="str">
        <f>AND(#REF!,"AAAAAB/07Y4=")</f>
        <v>#REF!</v>
      </c>
      <c r="EN16" s="66" t="str">
        <f>AND(#REF!,"AAAAAB/07Y8=")</f>
        <v>#REF!</v>
      </c>
      <c r="EO16" s="66" t="str">
        <f>AND(#REF!,"AAAAAB/07ZA=")</f>
        <v>#REF!</v>
      </c>
      <c r="EP16" s="66" t="str">
        <f>AND(#REF!,"AAAAAB/07ZE=")</f>
        <v>#REF!</v>
      </c>
      <c r="EQ16" s="66" t="str">
        <f>AND(#REF!,"AAAAAB/07ZI=")</f>
        <v>#REF!</v>
      </c>
      <c r="ER16" s="66" t="str">
        <f>AND(#REF!,"AAAAAB/07ZM=")</f>
        <v>#REF!</v>
      </c>
      <c r="ES16" s="66" t="str">
        <f>AND(#REF!,"AAAAAB/07ZQ=")</f>
        <v>#REF!</v>
      </c>
      <c r="ET16" s="66" t="str">
        <f>AND(#REF!,"AAAAAB/07ZU=")</f>
        <v>#REF!</v>
      </c>
      <c r="EU16" s="66" t="str">
        <f>AND(#REF!,"AAAAAB/07ZY=")</f>
        <v>#REF!</v>
      </c>
      <c r="EV16" s="66" t="str">
        <f>AND(#REF!,"AAAAAB/07Zc=")</f>
        <v>#REF!</v>
      </c>
      <c r="EW16" s="66" t="str">
        <f>AND(#REF!,"AAAAAB/07Zg=")</f>
        <v>#REF!</v>
      </c>
      <c r="EX16" s="66" t="str">
        <f>AND(#REF!,"AAAAAB/07Zk=")</f>
        <v>#REF!</v>
      </c>
      <c r="EY16" s="66" t="str">
        <f>AND(#REF!,"AAAAAB/07Zo=")</f>
        <v>#REF!</v>
      </c>
      <c r="EZ16" s="66" t="str">
        <f>AND(#REF!,"AAAAAB/07Zs=")</f>
        <v>#REF!</v>
      </c>
      <c r="FA16" s="66" t="str">
        <f>AND(#REF!,"AAAAAB/07Zw=")</f>
        <v>#REF!</v>
      </c>
      <c r="FB16" s="66" t="str">
        <f>AND(#REF!,"AAAAAB/07Z0=")</f>
        <v>#REF!</v>
      </c>
      <c r="FC16" s="66" t="str">
        <f>AND(#REF!,"AAAAAB/07Z4=")</f>
        <v>#REF!</v>
      </c>
      <c r="FD16" s="66" t="str">
        <f>AND(#REF!,"AAAAAB/07Z8=")</f>
        <v>#REF!</v>
      </c>
      <c r="FE16" s="66" t="str">
        <f>AND(#REF!,"AAAAAB/07aA=")</f>
        <v>#REF!</v>
      </c>
      <c r="FF16" s="66" t="str">
        <f>AND(#REF!,"AAAAAB/07aE=")</f>
        <v>#REF!</v>
      </c>
      <c r="FG16" s="66" t="str">
        <f>AND(#REF!,"AAAAAB/07aI=")</f>
        <v>#REF!</v>
      </c>
      <c r="FH16" s="66" t="str">
        <f>AND(#REF!,"AAAAAB/07aM=")</f>
        <v>#REF!</v>
      </c>
      <c r="FI16" s="66" t="str">
        <f>AND(#REF!,"AAAAAB/07aQ=")</f>
        <v>#REF!</v>
      </c>
      <c r="FJ16" s="66" t="str">
        <f>AND(#REF!,"AAAAAB/07aU=")</f>
        <v>#REF!</v>
      </c>
      <c r="FK16" s="66" t="str">
        <f>AND(#REF!,"AAAAAB/07aY=")</f>
        <v>#REF!</v>
      </c>
      <c r="FL16" s="66" t="str">
        <f>AND(#REF!,"AAAAAB/07ac=")</f>
        <v>#REF!</v>
      </c>
      <c r="FM16" s="66" t="str">
        <f>AND(#REF!,"AAAAAB/07ag=")</f>
        <v>#REF!</v>
      </c>
      <c r="FN16" s="66" t="str">
        <f>AND(#REF!,"AAAAAB/07ak=")</f>
        <v>#REF!</v>
      </c>
      <c r="FO16" s="66" t="str">
        <f>AND(#REF!,"AAAAAB/07ao=")</f>
        <v>#REF!</v>
      </c>
      <c r="FP16" s="66" t="str">
        <f>AND(#REF!,"AAAAAB/07as=")</f>
        <v>#REF!</v>
      </c>
      <c r="FQ16" s="66" t="str">
        <f>AND(#REF!,"AAAAAB/07aw=")</f>
        <v>#REF!</v>
      </c>
      <c r="FR16" s="66" t="str">
        <f>AND(#REF!,"AAAAAB/07a0=")</f>
        <v>#REF!</v>
      </c>
      <c r="FS16" s="66" t="str">
        <f>AND(#REF!,"AAAAAB/07a4=")</f>
        <v>#REF!</v>
      </c>
      <c r="FT16" s="66" t="str">
        <f>AND(#REF!,"AAAAAB/07a8=")</f>
        <v>#REF!</v>
      </c>
      <c r="FU16" s="66" t="str">
        <f>AND(#REF!,"AAAAAB/07bA=")</f>
        <v>#REF!</v>
      </c>
      <c r="FV16" s="66" t="str">
        <f>AND(#REF!,"AAAAAB/07bE=")</f>
        <v>#REF!</v>
      </c>
      <c r="FW16" s="66" t="str">
        <f>AND(#REF!,"AAAAAB/07bI=")</f>
        <v>#REF!</v>
      </c>
      <c r="FX16" s="66" t="str">
        <f>AND(#REF!,"AAAAAB/07bM=")</f>
        <v>#REF!</v>
      </c>
      <c r="FY16" s="66" t="str">
        <f>IF(#REF!,"AAAAAB/07bQ=",0)</f>
        <v>#REF!</v>
      </c>
      <c r="FZ16" s="66" t="str">
        <f>AND(#REF!,"AAAAAB/07bU=")</f>
        <v>#REF!</v>
      </c>
      <c r="GA16" s="66" t="str">
        <f>AND(#REF!,"AAAAAB/07bY=")</f>
        <v>#REF!</v>
      </c>
      <c r="GB16" s="66" t="str">
        <f>AND(#REF!,"AAAAAB/07bc=")</f>
        <v>#REF!</v>
      </c>
      <c r="GC16" s="66" t="str">
        <f>AND(#REF!,"AAAAAB/07bg=")</f>
        <v>#REF!</v>
      </c>
      <c r="GD16" s="66" t="str">
        <f>AND(#REF!,"AAAAAB/07bk=")</f>
        <v>#REF!</v>
      </c>
      <c r="GE16" s="66" t="str">
        <f>AND(#REF!,"AAAAAB/07bo=")</f>
        <v>#REF!</v>
      </c>
      <c r="GF16" s="66" t="str">
        <f>AND(#REF!,"AAAAAB/07bs=")</f>
        <v>#REF!</v>
      </c>
      <c r="GG16" s="66" t="str">
        <f>AND(#REF!,"AAAAAB/07bw=")</f>
        <v>#REF!</v>
      </c>
      <c r="GH16" s="66" t="str">
        <f>AND(#REF!,"AAAAAB/07b0=")</f>
        <v>#REF!</v>
      </c>
      <c r="GI16" s="66" t="str">
        <f>AND(#REF!,"AAAAAB/07b4=")</f>
        <v>#REF!</v>
      </c>
      <c r="GJ16" s="66" t="str">
        <f>AND(#REF!,"AAAAAB/07b8=")</f>
        <v>#REF!</v>
      </c>
      <c r="GK16" s="66" t="str">
        <f>AND(#REF!,"AAAAAB/07cA=")</f>
        <v>#REF!</v>
      </c>
      <c r="GL16" s="66" t="str">
        <f>AND(#REF!,"AAAAAB/07cE=")</f>
        <v>#REF!</v>
      </c>
      <c r="GM16" s="66" t="str">
        <f>AND(#REF!,"AAAAAB/07cI=")</f>
        <v>#REF!</v>
      </c>
      <c r="GN16" s="66" t="str">
        <f>AND(#REF!,"AAAAAB/07cM=")</f>
        <v>#REF!</v>
      </c>
      <c r="GO16" s="66" t="str">
        <f>AND(#REF!,"AAAAAB/07cQ=")</f>
        <v>#REF!</v>
      </c>
      <c r="GP16" s="66" t="str">
        <f>AND(#REF!,"AAAAAB/07cU=")</f>
        <v>#REF!</v>
      </c>
      <c r="GQ16" s="66" t="str">
        <f>AND(#REF!,"AAAAAB/07cY=")</f>
        <v>#REF!</v>
      </c>
      <c r="GR16" s="66" t="str">
        <f>AND(#REF!,"AAAAAB/07cc=")</f>
        <v>#REF!</v>
      </c>
      <c r="GS16" s="66" t="str">
        <f>AND(#REF!,"AAAAAB/07cg=")</f>
        <v>#REF!</v>
      </c>
      <c r="GT16" s="66" t="str">
        <f>AND(#REF!,"AAAAAB/07ck=")</f>
        <v>#REF!</v>
      </c>
      <c r="GU16" s="66" t="str">
        <f>AND(#REF!,"AAAAAB/07co=")</f>
        <v>#REF!</v>
      </c>
      <c r="GV16" s="66" t="str">
        <f>AND(#REF!,"AAAAAB/07cs=")</f>
        <v>#REF!</v>
      </c>
      <c r="GW16" s="66" t="str">
        <f>AND(#REF!,"AAAAAB/07cw=")</f>
        <v>#REF!</v>
      </c>
      <c r="GX16" s="66" t="str">
        <f>AND(#REF!,"AAAAAB/07c0=")</f>
        <v>#REF!</v>
      </c>
      <c r="GY16" s="66" t="str">
        <f>AND(#REF!,"AAAAAB/07c4=")</f>
        <v>#REF!</v>
      </c>
      <c r="GZ16" s="66" t="str">
        <f>AND(#REF!,"AAAAAB/07c8=")</f>
        <v>#REF!</v>
      </c>
      <c r="HA16" s="66" t="str">
        <f>AND(#REF!,"AAAAAB/07dA=")</f>
        <v>#REF!</v>
      </c>
      <c r="HB16" s="66" t="str">
        <f>AND(#REF!,"AAAAAB/07dE=")</f>
        <v>#REF!</v>
      </c>
      <c r="HC16" s="66" t="str">
        <f>AND(#REF!,"AAAAAB/07dI=")</f>
        <v>#REF!</v>
      </c>
      <c r="HD16" s="66" t="str">
        <f>AND(#REF!,"AAAAAB/07dM=")</f>
        <v>#REF!</v>
      </c>
      <c r="HE16" s="66" t="str">
        <f>AND(#REF!,"AAAAAB/07dQ=")</f>
        <v>#REF!</v>
      </c>
      <c r="HF16" s="66" t="str">
        <f>AND(#REF!,"AAAAAB/07dU=")</f>
        <v>#REF!</v>
      </c>
      <c r="HG16" s="66" t="str">
        <f>AND(#REF!,"AAAAAB/07dY=")</f>
        <v>#REF!</v>
      </c>
      <c r="HH16" s="66" t="str">
        <f>AND(#REF!,"AAAAAB/07dc=")</f>
        <v>#REF!</v>
      </c>
      <c r="HI16" s="66" t="str">
        <f>AND(#REF!,"AAAAAB/07dg=")</f>
        <v>#REF!</v>
      </c>
      <c r="HJ16" s="66" t="str">
        <f>AND(#REF!,"AAAAAB/07dk=")</f>
        <v>#REF!</v>
      </c>
      <c r="HK16" s="66" t="str">
        <f>AND(#REF!,"AAAAAB/07do=")</f>
        <v>#REF!</v>
      </c>
      <c r="HL16" s="66" t="str">
        <f>AND(#REF!,"AAAAAB/07ds=")</f>
        <v>#REF!</v>
      </c>
      <c r="HM16" s="66" t="str">
        <f>AND(#REF!,"AAAAAB/07dw=")</f>
        <v>#REF!</v>
      </c>
      <c r="HN16" s="66" t="str">
        <f>IF(#REF!,"AAAAAB/07d0=",0)</f>
        <v>#REF!</v>
      </c>
      <c r="HO16" s="66" t="str">
        <f>IF(#REF!,"AAAAAB/07d4=",0)</f>
        <v>#REF!</v>
      </c>
      <c r="HP16" s="66" t="str">
        <f>IF(#REF!,"AAAAAB/07d8=",0)</f>
        <v>#REF!</v>
      </c>
      <c r="HQ16" s="66" t="str">
        <f>IF(#REF!,"AAAAAB/07eA=",0)</f>
        <v>#REF!</v>
      </c>
      <c r="HR16" s="66" t="str">
        <f>IF(#REF!,"AAAAAB/07eE=",0)</f>
        <v>#REF!</v>
      </c>
      <c r="HS16" s="66" t="str">
        <f>IF(#REF!,"AAAAAB/07eI=",0)</f>
        <v>#REF!</v>
      </c>
      <c r="HT16" s="66" t="str">
        <f>IF(#REF!,"AAAAAB/07eM=",0)</f>
        <v>#REF!</v>
      </c>
      <c r="HU16" s="66" t="str">
        <f>IF(#REF!,"AAAAAB/07eQ=",0)</f>
        <v>#REF!</v>
      </c>
      <c r="HV16" s="66" t="str">
        <f>IF(#REF!,"AAAAAB/07eU=",0)</f>
        <v>#REF!</v>
      </c>
      <c r="HW16" s="66" t="str">
        <f>IF(#REF!,"AAAAAB/07eY=",0)</f>
        <v>#REF!</v>
      </c>
      <c r="HX16" s="66" t="str">
        <f>IF(#REF!,"AAAAAB/07ec=",0)</f>
        <v>#REF!</v>
      </c>
      <c r="HY16" s="66" t="str">
        <f>IF(#REF!,"AAAAAB/07eg=",0)</f>
        <v>#REF!</v>
      </c>
      <c r="HZ16" s="66" t="str">
        <f>IF(#REF!,"AAAAAB/07ek=",0)</f>
        <v>#REF!</v>
      </c>
      <c r="IA16" s="66" t="str">
        <f>IF(#REF!,"AAAAAB/07eo=",0)</f>
        <v>#REF!</v>
      </c>
      <c r="IB16" s="66" t="str">
        <f>IF(#REF!,"AAAAAB/07es=",0)</f>
        <v>#REF!</v>
      </c>
      <c r="IC16" s="66" t="str">
        <f>IF(#REF!,"AAAAAB/07ew=",0)</f>
        <v>#REF!</v>
      </c>
      <c r="ID16" s="66" t="str">
        <f>IF(#REF!,"AAAAAB/07e0=",0)</f>
        <v>#REF!</v>
      </c>
      <c r="IE16" s="66" t="str">
        <f>IF(#REF!,"AAAAAB/07e4=",0)</f>
        <v>#REF!</v>
      </c>
      <c r="IF16" s="66" t="str">
        <f>IF(#REF!,"AAAAAB/07e8=",0)</f>
        <v>#REF!</v>
      </c>
      <c r="IG16" s="66" t="str">
        <f>IF(#REF!,"AAAAAB/07fA=",0)</f>
        <v>#REF!</v>
      </c>
      <c r="IH16" s="66" t="str">
        <f>IF(#REF!,"AAAAAB/07fE=",0)</f>
        <v>#REF!</v>
      </c>
      <c r="II16" s="66" t="str">
        <f>IF(#REF!,"AAAAAB/07fI=",0)</f>
        <v>#REF!</v>
      </c>
      <c r="IJ16" s="66" t="str">
        <f>IF(#REF!,"AAAAAB/07fM=",0)</f>
        <v>#REF!</v>
      </c>
      <c r="IK16" s="66" t="str">
        <f>IF(#REF!,"AAAAAB/07fQ=",0)</f>
        <v>#REF!</v>
      </c>
      <c r="IL16" s="66" t="str">
        <f>IF(#REF!,"AAAAAB/07fU=",0)</f>
        <v>#REF!</v>
      </c>
      <c r="IM16" s="66" t="str">
        <f>IF(#REF!,"AAAAAB/07fY=",0)</f>
        <v>#REF!</v>
      </c>
      <c r="IN16" s="66" t="str">
        <f>IF(#REF!,"AAAAAB/07fc=",0)</f>
        <v>#REF!</v>
      </c>
      <c r="IO16" s="66" t="str">
        <f>IF(#REF!,"AAAAAB/07fg=",0)</f>
        <v>#REF!</v>
      </c>
      <c r="IP16" s="66" t="str">
        <f>IF(#REF!,"AAAAAB/07fk=",0)</f>
        <v>#REF!</v>
      </c>
      <c r="IQ16" s="66" t="str">
        <f>IF(#REF!,"AAAAAB/07fo=",0)</f>
        <v>#REF!</v>
      </c>
      <c r="IR16" s="66" t="str">
        <f>IF(#REF!,"AAAAAB/07fs=",0)</f>
        <v>#REF!</v>
      </c>
      <c r="IS16" s="66" t="str">
        <f>IF(#REF!,"AAAAAB/07fw=",0)</f>
        <v>#REF!</v>
      </c>
      <c r="IT16" s="66" t="str">
        <f>IF(#REF!,"AAAAAB/07f0=",0)</f>
        <v>#REF!</v>
      </c>
      <c r="IU16" s="66" t="str">
        <f>IF(#REF!,"AAAAAB/07f4=",0)</f>
        <v>#REF!</v>
      </c>
      <c r="IV16" s="66" t="str">
        <f>IF(#REF!,"AAAAAB/07f8=",0)</f>
        <v>#REF!</v>
      </c>
    </row>
    <row r="17" ht="12.75" customHeight="1">
      <c r="A17" s="66" t="str">
        <f>IF(#REF!,"AAAAADb9/wA=",0)</f>
        <v>#REF!</v>
      </c>
      <c r="B17" s="66" t="str">
        <f>IF(#REF!,"AAAAADb9/wE=",0)</f>
        <v>#REF!</v>
      </c>
      <c r="C17" s="66" t="str">
        <f>IF(#REF!,"AAAAADb9/wI=",0)</f>
        <v>#REF!</v>
      </c>
      <c r="D17" s="66" t="str">
        <f>IF(#REF!,"AAAAADb9/wM=",0)</f>
        <v>#REF!</v>
      </c>
      <c r="E17" s="66" t="str">
        <f>IF(#REF!,"AAAAADb9/wQ=",0)</f>
        <v>#REF!</v>
      </c>
      <c r="F17" s="66" t="s">
        <v>27</v>
      </c>
      <c r="G17" s="66" t="str">
        <f>IF("N",'Conciliación Bancaria'!_FilterDatabase,"AAAAADb9/wY=")</f>
        <v>#VALUE!</v>
      </c>
      <c r="H17" s="66" t="str">
        <f>IF("N",'Conciliación Bancaria'!Print_Area,"AAAAADb9/wc=")</f>
        <v>#VALUE!</v>
      </c>
      <c r="I17" s="66" t="str">
        <f>IF("N",Imprimir,"AAAAADb9/wg=")</f>
        <v>#VALUE!</v>
      </c>
      <c r="J17" s="66" t="str">
        <f>IF("N",'Conciliación Bancaria'!Print_Titles,"AAAAADb9/wk=")</f>
        <v>#VALUE!</v>
      </c>
    </row>
    <row r="18" ht="12.75" customHeight="1">
      <c r="A18" s="66" t="str">
        <f>IF(#REF!,"AAAAAGf/XgA=",0)</f>
        <v>#REF!</v>
      </c>
      <c r="B18" s="66" t="str">
        <f>AND(#REF!,"AAAAAGf/XgE=")</f>
        <v>#REF!</v>
      </c>
      <c r="C18" s="66" t="str">
        <f>AND(#REF!,"AAAAAGf/XgI=")</f>
        <v>#REF!</v>
      </c>
      <c r="D18" s="66" t="str">
        <f>AND(#REF!,"AAAAAGf/XgM=")</f>
        <v>#REF!</v>
      </c>
      <c r="E18" s="66" t="str">
        <f>AND(#REF!,"AAAAAGf/XgQ=")</f>
        <v>#REF!</v>
      </c>
      <c r="F18" s="66" t="str">
        <f>AND(#REF!,"AAAAAGf/XgU=")</f>
        <v>#REF!</v>
      </c>
      <c r="G18" s="66" t="str">
        <f>AND(#REF!,"AAAAAGf/XgY=")</f>
        <v>#REF!</v>
      </c>
      <c r="H18" s="66" t="str">
        <f>AND(#REF!,"AAAAAGf/Xgc=")</f>
        <v>#REF!</v>
      </c>
      <c r="I18" s="66" t="str">
        <f>AND(#REF!,"AAAAAGf/Xgg=")</f>
        <v>#REF!</v>
      </c>
      <c r="J18" s="66" t="str">
        <f>AND(#REF!,"AAAAAGf/Xgk=")</f>
        <v>#REF!</v>
      </c>
      <c r="K18" s="66" t="str">
        <f>AND(#REF!,"AAAAAGf/Xgo=")</f>
        <v>#REF!</v>
      </c>
      <c r="L18" s="66" t="str">
        <f>AND(#REF!,"AAAAAGf/Xgs=")</f>
        <v>#REF!</v>
      </c>
      <c r="M18" s="66" t="str">
        <f>AND(#REF!,"AAAAAGf/Xgw=")</f>
        <v>#REF!</v>
      </c>
      <c r="N18" s="66" t="str">
        <f>AND(#REF!,"AAAAAGf/Xg0=")</f>
        <v>#REF!</v>
      </c>
      <c r="O18" s="66" t="str">
        <f>AND(#REF!,"AAAAAGf/Xg4=")</f>
        <v>#REF!</v>
      </c>
      <c r="P18" s="66" t="str">
        <f>AND(#REF!,"AAAAAGf/Xg8=")</f>
        <v>#REF!</v>
      </c>
      <c r="Q18" s="66" t="str">
        <f>AND(#REF!,"AAAAAGf/XhA=")</f>
        <v>#REF!</v>
      </c>
      <c r="R18" s="66" t="str">
        <f>AND(#REF!,"AAAAAGf/XhE=")</f>
        <v>#REF!</v>
      </c>
      <c r="S18" s="66" t="str">
        <f>AND(#REF!,"AAAAAGf/XhI=")</f>
        <v>#REF!</v>
      </c>
      <c r="T18" s="66">
        <f>IF('Conciliación Bancaria'!$A5:$IU5,"AAAAAGf/XhM=",0)</f>
        <v>0</v>
      </c>
      <c r="U18" s="66" t="str">
        <f>AND(#REF!,"AAAAAGf/XhQ=")</f>
        <v>#REF!</v>
      </c>
      <c r="V18" s="66" t="str">
        <f>AND('Conciliación Bancaria'!A5,"AAAAAGf/XhU=")</f>
        <v>#VALUE!</v>
      </c>
      <c r="W18" s="66" t="str">
        <f>AND('Conciliación Bancaria'!B5,"AAAAAGf/XhY=")</f>
        <v>#VALUE!</v>
      </c>
      <c r="X18" s="66" t="str">
        <f>AND('Conciliación Bancaria'!C5,"AAAAAGf/Xhc=")</f>
        <v>#VALUE!</v>
      </c>
      <c r="Y18" s="66" t="str">
        <f>AND('Conciliación Bancaria'!F5,"AAAAAGf/Xhg=")</f>
        <v>#VALUE!</v>
      </c>
      <c r="Z18" s="66" t="str">
        <f>AND('Conciliación Bancaria'!G5,"AAAAAGf/Xhk=")</f>
        <v>#VALUE!</v>
      </c>
      <c r="AA18" s="66" t="str">
        <f>AND('Conciliación Bancaria'!H5,"AAAAAGf/Xho=")</f>
        <v>#VALUE!</v>
      </c>
      <c r="AB18" s="66" t="str">
        <f>AND('Conciliación Bancaria'!I5,"AAAAAGf/Xhs=")</f>
        <v>#VALUE!</v>
      </c>
      <c r="AC18" s="66" t="str">
        <f>AND('Conciliación Bancaria'!J5,"AAAAAGf/Xhw=")</f>
        <v>#VALUE!</v>
      </c>
      <c r="AD18" s="66" t="str">
        <f>AND('Conciliación Bancaria'!K5,"AAAAAGf/Xh0=")</f>
        <v>#VALUE!</v>
      </c>
      <c r="AE18" s="66" t="str">
        <f>AND('Conciliación Bancaria'!L5,"AAAAAGf/Xh4=")</f>
        <v>#VALUE!</v>
      </c>
      <c r="AF18" s="66" t="str">
        <f>AND('Conciliación Bancaria'!M5,"AAAAAGf/Xh8=")</f>
        <v>#VALUE!</v>
      </c>
      <c r="AG18" s="66" t="str">
        <f>AND(#REF!,"AAAAAGf/XiA=")</f>
        <v>#REF!</v>
      </c>
      <c r="AH18" s="66" t="str">
        <f>AND('Conciliación Bancaria'!D6,"AAAAAGf/XiE=")</f>
        <v>#VALUE!</v>
      </c>
      <c r="AI18" s="66" t="str">
        <f>AND('Conciliación Bancaria'!E6,"AAAAAGf/XiI=")</f>
        <v>#VALUE!</v>
      </c>
      <c r="AJ18" s="66" t="str">
        <f>AND(#REF!,"AAAAAGf/XiM=")</f>
        <v>#REF!</v>
      </c>
      <c r="AK18" s="66" t="str">
        <f>AND(#REF!,"AAAAAGf/XiQ=")</f>
        <v>#REF!</v>
      </c>
      <c r="AL18" s="66" t="str">
        <f>AND(#REF!,"AAAAAGf/XiU=")</f>
        <v>#REF!</v>
      </c>
      <c r="AM18" s="66" t="str">
        <f>AND(#REF!,"AAAAAGf/XiY=")</f>
        <v>#REF!</v>
      </c>
      <c r="AN18" s="66" t="str">
        <f>AND(#REF!,"AAAAAGf/Xic=")</f>
        <v>#REF!</v>
      </c>
      <c r="AO18" s="66" t="str">
        <f>AND(#REF!,"AAAAAGf/Xig=")</f>
        <v>#REF!</v>
      </c>
      <c r="AP18" s="66" t="str">
        <f>AND(#REF!,"AAAAAGf/Xik=")</f>
        <v>#REF!</v>
      </c>
      <c r="AQ18" s="66" t="str">
        <f>AND(#REF!,"AAAAAGf/Xio=")</f>
        <v>#REF!</v>
      </c>
      <c r="AR18" s="66" t="str">
        <f>AND(#REF!,"AAAAAGf/Xis=")</f>
        <v>#REF!</v>
      </c>
      <c r="AS18" s="66" t="str">
        <f>AND(#REF!,"AAAAAGf/Xiw=")</f>
        <v>#REF!</v>
      </c>
      <c r="AT18" s="66" t="str">
        <f>AND(#REF!,"AAAAAGf/Xi0=")</f>
        <v>#REF!</v>
      </c>
      <c r="AU18" s="66" t="str">
        <f>AND(#REF!,"AAAAAGf/Xi4=")</f>
        <v>#REF!</v>
      </c>
      <c r="AV18" s="66" t="str">
        <f>AND(#REF!,"AAAAAGf/Xi8=")</f>
        <v>#REF!</v>
      </c>
      <c r="AW18" s="66" t="str">
        <f>AND(#REF!,"AAAAAGf/XjA=")</f>
        <v>#REF!</v>
      </c>
      <c r="AX18" s="66" t="str">
        <f>AND(#REF!,"AAAAAGf/XjE=")</f>
        <v>#REF!</v>
      </c>
      <c r="AY18" s="66" t="str">
        <f>AND(#REF!,"AAAAAGf/XjI=")</f>
        <v>#REF!</v>
      </c>
      <c r="AZ18" s="66" t="str">
        <f>AND(#REF!,"AAAAAGf/XjM=")</f>
        <v>#REF!</v>
      </c>
      <c r="BA18" s="66" t="str">
        <f>AND(#REF!,"AAAAAGf/XjQ=")</f>
        <v>#REF!</v>
      </c>
      <c r="BB18" s="66" t="str">
        <f>AND(#REF!,"AAAAAGf/XjU=")</f>
        <v>#REF!</v>
      </c>
      <c r="BC18" s="66" t="str">
        <f>AND(#REF!,"AAAAAGf/XjY=")</f>
        <v>#REF!</v>
      </c>
      <c r="BD18" s="66" t="str">
        <f>AND(#REF!,"AAAAAGf/Xjc=")</f>
        <v>#REF!</v>
      </c>
      <c r="BE18" s="66" t="str">
        <f>AND(#REF!,"AAAAAGf/Xjg=")</f>
        <v>#REF!</v>
      </c>
      <c r="BF18" s="66" t="str">
        <f>AND(#REF!,"AAAAAGf/Xjk=")</f>
        <v>#REF!</v>
      </c>
      <c r="BG18" s="66" t="str">
        <f>AND(#REF!,"AAAAAGf/Xjo=")</f>
        <v>#REF!</v>
      </c>
      <c r="BH18" s="66" t="str">
        <f>AND(#REF!,"AAAAAGf/Xjs=")</f>
        <v>#REF!</v>
      </c>
      <c r="BI18" s="66" t="str">
        <f>AND(#REF!,"AAAAAGf/Xjw=")</f>
        <v>#REF!</v>
      </c>
      <c r="BJ18" s="66" t="str">
        <f>AND(#REF!,"AAAAAGf/Xj0=")</f>
        <v>#REF!</v>
      </c>
      <c r="BK18" s="66" t="str">
        <f>AND(#REF!,"AAAAAGf/Xj4=")</f>
        <v>#REF!</v>
      </c>
      <c r="BL18" s="66" t="str">
        <f>AND(#REF!,"AAAAAGf/Xj8=")</f>
        <v>#REF!</v>
      </c>
      <c r="BM18" s="66" t="str">
        <f>AND(#REF!,"AAAAAGf/XkA=")</f>
        <v>#REF!</v>
      </c>
      <c r="BN18" s="66" t="str">
        <f>AND(#REF!,"AAAAAGf/XkE=")</f>
        <v>#REF!</v>
      </c>
      <c r="BO18" s="66" t="str">
        <f>AND(#REF!,"AAAAAGf/XkI=")</f>
        <v>#REF!</v>
      </c>
      <c r="BP18" s="66" t="str">
        <f>AND(#REF!,"AAAAAGf/XkM=")</f>
        <v>#REF!</v>
      </c>
      <c r="BQ18" s="66" t="str">
        <f>AND(#REF!,"AAAAAGf/XkQ=")</f>
        <v>#REF!</v>
      </c>
      <c r="BR18" s="66" t="str">
        <f>AND(#REF!,"AAAAAGf/XkU=")</f>
        <v>#REF!</v>
      </c>
      <c r="BS18" s="66" t="str">
        <f>AND(#REF!,"AAAAAGf/XkY=")</f>
        <v>#REF!</v>
      </c>
      <c r="BT18" s="66" t="str">
        <f>AND('Conciliación Bancaria'!A42,"AAAAAGf/Xkc=")</f>
        <v>#VALUE!</v>
      </c>
      <c r="BU18" s="66" t="str">
        <f>AND(#REF!,"AAAAAGf/Xkg=")</f>
        <v>#REF!</v>
      </c>
      <c r="BV18" s="66" t="str">
        <f>AND(#REF!,"AAAAAGf/Xkk=")</f>
        <v>#REF!</v>
      </c>
      <c r="BW18" s="66" t="str">
        <f>AND(#REF!,"AAAAAGf/Xko=")</f>
        <v>#REF!</v>
      </c>
      <c r="BX18" s="66" t="str">
        <f>AND(#REF!,"AAAAAGf/Xks=")</f>
        <v>#REF!</v>
      </c>
      <c r="BY18" s="66" t="str">
        <f>AND(#REF!,"AAAAAGf/Xkw=")</f>
        <v>#REF!</v>
      </c>
      <c r="BZ18" s="66" t="str">
        <f>AND(#REF!,"AAAAAGf/Xk0=")</f>
        <v>#REF!</v>
      </c>
      <c r="CA18" s="66" t="str">
        <f>AND(#REF!,"AAAAAGf/Xk4=")</f>
        <v>#REF!</v>
      </c>
      <c r="CB18" s="66" t="str">
        <f>AND(#REF!,"AAAAAGf/Xk8=")</f>
        <v>#REF!</v>
      </c>
      <c r="CC18" s="66" t="str">
        <f>AND(#REF!,"AAAAAGf/XlA=")</f>
        <v>#REF!</v>
      </c>
      <c r="CD18" s="66" t="str">
        <f>AND(#REF!,"AAAAAGf/XlE=")</f>
        <v>#REF!</v>
      </c>
      <c r="CE18" s="66" t="str">
        <f>AND(#REF!,"AAAAAGf/XlI=")</f>
        <v>#REF!</v>
      </c>
      <c r="CF18" s="66" t="str">
        <f>AND(#REF!,"AAAAAGf/XlM=")</f>
        <v>#REF!</v>
      </c>
      <c r="CG18" s="66" t="str">
        <f>AND(#REF!,"AAAAAGf/XlQ=")</f>
        <v>#REF!</v>
      </c>
      <c r="CH18" s="66" t="str">
        <f>AND(#REF!,"AAAAAGf/XlU=")</f>
        <v>#REF!</v>
      </c>
      <c r="CI18" s="66" t="str">
        <f>AND(#REF!,"AAAAAGf/XlY=")</f>
        <v>#REF!</v>
      </c>
      <c r="CJ18" s="66" t="str">
        <f>AND(#REF!,"AAAAAGf/Xlc=")</f>
        <v>#REF!</v>
      </c>
      <c r="CK18" s="66" t="str">
        <f>AND(#REF!,"AAAAAGf/Xlg=")</f>
        <v>#REF!</v>
      </c>
      <c r="CL18" s="66" t="str">
        <f>AND(#REF!,"AAAAAGf/Xlk=")</f>
        <v>#REF!</v>
      </c>
      <c r="CM18" s="66" t="str">
        <f>AND(#REF!,"AAAAAGf/Xlo=")</f>
        <v>#REF!</v>
      </c>
      <c r="CN18" s="66" t="str">
        <f>AND(#REF!,"AAAAAGf/Xls=")</f>
        <v>#REF!</v>
      </c>
      <c r="CO18" s="66" t="str">
        <f>AND(#REF!,"AAAAAGf/Xlw=")</f>
        <v>#REF!</v>
      </c>
      <c r="CP18" s="66" t="str">
        <f>AND(#REF!,"AAAAAGf/Xl0=")</f>
        <v>#REF!</v>
      </c>
      <c r="CQ18" s="66" t="str">
        <f>AND(#REF!,"AAAAAGf/Xl4=")</f>
        <v>#REF!</v>
      </c>
      <c r="CR18" s="66" t="str">
        <f>AND(#REF!,"AAAAAGf/Xl8=")</f>
        <v>#REF!</v>
      </c>
      <c r="CS18" s="66" t="str">
        <f>AND('Conciliación Bancaria'!A67,"AAAAAGf/XmA=")</f>
        <v>#VALUE!</v>
      </c>
      <c r="CT18" s="66" t="str">
        <f>AND(#REF!,"AAAAAGf/XmE=")</f>
        <v>#REF!</v>
      </c>
      <c r="CU18" s="66" t="str">
        <f>AND(#REF!,"AAAAAGf/XmI=")</f>
        <v>#REF!</v>
      </c>
      <c r="CV18" s="66" t="str">
        <f>AND(#REF!,"AAAAAGf/XmM=")</f>
        <v>#REF!</v>
      </c>
      <c r="CW18" s="66" t="str">
        <f>AND(#REF!,"AAAAAGf/XmQ=")</f>
        <v>#REF!</v>
      </c>
      <c r="CX18" s="66" t="str">
        <f>AND(#REF!,"AAAAAGf/XmU=")</f>
        <v>#REF!</v>
      </c>
      <c r="CY18" s="66" t="str">
        <f>AND(#REF!,"AAAAAGf/XmY=")</f>
        <v>#REF!</v>
      </c>
      <c r="CZ18" s="66" t="str">
        <f>AND(#REF!,"AAAAAGf/Xmc=")</f>
        <v>#REF!</v>
      </c>
      <c r="DA18" s="66" t="str">
        <f>AND(#REF!,"AAAAAGf/Xmg=")</f>
        <v>#REF!</v>
      </c>
      <c r="DB18" s="66" t="str">
        <f>AND(#REF!,"AAAAAGf/Xmk=")</f>
        <v>#REF!</v>
      </c>
      <c r="DC18" s="66" t="str">
        <f>AND(#REF!,"AAAAAGf/Xmo=")</f>
        <v>#REF!</v>
      </c>
      <c r="DD18" s="66" t="str">
        <f>AND(#REF!,"AAAAAGf/Xms=")</f>
        <v>#REF!</v>
      </c>
      <c r="DE18" s="66" t="str">
        <f>AND(#REF!,"AAAAAGf/Xmw=")</f>
        <v>#REF!</v>
      </c>
      <c r="DF18" s="66" t="str">
        <f>AND(#REF!,"AAAAAGf/Xm0=")</f>
        <v>#REF!</v>
      </c>
      <c r="DG18" s="66" t="str">
        <f>AND(#REF!,"AAAAAGf/Xm4=")</f>
        <v>#REF!</v>
      </c>
      <c r="DH18" s="66" t="str">
        <f>AND(#REF!,"AAAAAGf/Xm8=")</f>
        <v>#REF!</v>
      </c>
      <c r="DI18" s="66" t="str">
        <f>AND(#REF!,"AAAAAGf/XnA=")</f>
        <v>#REF!</v>
      </c>
      <c r="DJ18" s="66" t="str">
        <f>AND(#REF!,"AAAAAGf/XnE=")</f>
        <v>#REF!</v>
      </c>
      <c r="DK18" s="66" t="str">
        <f>AND(#REF!,"AAAAAGf/XnI=")</f>
        <v>#REF!</v>
      </c>
      <c r="DL18" s="66" t="str">
        <f>AND(#REF!,"AAAAAGf/XnM=")</f>
        <v>#REF!</v>
      </c>
      <c r="DM18" s="66" t="str">
        <f>AND(#REF!,"AAAAAGf/XnQ=")</f>
        <v>#REF!</v>
      </c>
      <c r="DN18" s="66" t="str">
        <f>AND(#REF!,"AAAAAGf/XnU=")</f>
        <v>#REF!</v>
      </c>
      <c r="DO18" s="66" t="str">
        <f>AND(#REF!,"AAAAAGf/XnY=")</f>
        <v>#REF!</v>
      </c>
      <c r="DP18" s="66" t="str">
        <f>AND(#REF!,"AAAAAGf/Xnc=")</f>
        <v>#REF!</v>
      </c>
      <c r="DQ18" s="66" t="str">
        <f>AND('Conciliación Bancaria'!A93,"AAAAAGf/Xng=")</f>
        <v>#VALUE!</v>
      </c>
      <c r="DR18" s="66" t="str">
        <f>AND(#REF!,"AAAAAGf/Xnk=")</f>
        <v>#REF!</v>
      </c>
      <c r="DS18" s="66" t="str">
        <f>AND(#REF!,"AAAAAGf/Xno=")</f>
        <v>#REF!</v>
      </c>
      <c r="DT18" s="66" t="str">
        <f>AND(#REF!,"AAAAAGf/Xns=")</f>
        <v>#REF!</v>
      </c>
      <c r="DU18" s="66" t="str">
        <f>AND(#REF!,"AAAAAGf/Xnw=")</f>
        <v>#REF!</v>
      </c>
      <c r="DV18" s="66" t="str">
        <f>AND(#REF!,"AAAAAGf/Xn0=")</f>
        <v>#REF!</v>
      </c>
      <c r="DW18" s="66" t="str">
        <f>AND(#REF!,"AAAAAGf/Xn4=")</f>
        <v>#REF!</v>
      </c>
      <c r="DX18" s="66" t="str">
        <f>AND(#REF!,"AAAAAGf/Xn8=")</f>
        <v>#REF!</v>
      </c>
      <c r="DY18" s="66" t="str">
        <f>AND(#REF!,"AAAAAGf/XoA=")</f>
        <v>#REF!</v>
      </c>
      <c r="DZ18" s="66" t="str">
        <f>AND(#REF!,"AAAAAGf/XoE=")</f>
        <v>#REF!</v>
      </c>
      <c r="EA18" s="66" t="str">
        <f>AND(#REF!,"AAAAAGf/XoI=")</f>
        <v>#REF!</v>
      </c>
      <c r="EB18" s="66" t="str">
        <f>AND(#REF!,"AAAAAGf/XoM=")</f>
        <v>#REF!</v>
      </c>
      <c r="EC18" s="66" t="str">
        <f>AND(#REF!,"AAAAAGf/XoQ=")</f>
        <v>#REF!</v>
      </c>
      <c r="ED18" s="66" t="str">
        <f>AND(#REF!,"AAAAAGf/XoU=")</f>
        <v>#REF!</v>
      </c>
      <c r="EE18" s="66" t="str">
        <f>AND(#REF!,"AAAAAGf/XoY=")</f>
        <v>#REF!</v>
      </c>
      <c r="EF18" s="66" t="str">
        <f>AND(#REF!,"AAAAAGf/Xoc=")</f>
        <v>#REF!</v>
      </c>
      <c r="EG18" s="66" t="str">
        <f>AND(#REF!,"AAAAAGf/Xog=")</f>
        <v>#REF!</v>
      </c>
      <c r="EH18" s="66" t="str">
        <f>AND(#REF!,"AAAAAGf/Xok=")</f>
        <v>#REF!</v>
      </c>
      <c r="EI18" s="66" t="str">
        <f>AND(#REF!,"AAAAAGf/Xoo=")</f>
        <v>#REF!</v>
      </c>
      <c r="EJ18" s="66" t="str">
        <f>AND(#REF!,"AAAAAGf/Xos=")</f>
        <v>#REF!</v>
      </c>
      <c r="EK18" s="66" t="str">
        <f>AND(#REF!,"AAAAAGf/Xow=")</f>
        <v>#REF!</v>
      </c>
      <c r="EL18" s="66" t="str">
        <f>AND(#REF!,"AAAAAGf/Xo0=")</f>
        <v>#REF!</v>
      </c>
      <c r="EM18" s="66" t="str">
        <f>AND(#REF!,"AAAAAGf/Xo4=")</f>
        <v>#REF!</v>
      </c>
      <c r="EN18" s="66" t="str">
        <f>AND(#REF!,"AAAAAGf/Xo8=")</f>
        <v>#REF!</v>
      </c>
      <c r="EO18" s="66" t="str">
        <f>AND('Conciliación Bancaria'!D115,"AAAAAGf/XpA=")</f>
        <v>#VALUE!</v>
      </c>
      <c r="EP18" s="66" t="str">
        <f>AND('Conciliación Bancaria'!E115,"AAAAAGf/XpE=")</f>
        <v>#VALUE!</v>
      </c>
      <c r="EQ18" s="66" t="str">
        <f>AND('Conciliación Bancaria'!F115,"AAAAAGf/XpI=")</f>
        <v>#VALUE!</v>
      </c>
      <c r="ER18" s="66" t="str">
        <f>AND('Conciliación Bancaria'!G115,"AAAAAGf/XpM=")</f>
        <v>#VALUE!</v>
      </c>
      <c r="ES18" s="66" t="str">
        <f>AND('Conciliación Bancaria'!H115,"AAAAAGf/XpQ=")</f>
        <v>#VALUE!</v>
      </c>
      <c r="ET18" s="66" t="str">
        <f>AND('Conciliación Bancaria'!I115,"AAAAAGf/XpU=")</f>
        <v>#VALUE!</v>
      </c>
      <c r="EU18" s="66" t="str">
        <f>AND('Conciliación Bancaria'!J115,"AAAAAGf/XpY=")</f>
        <v>#VALUE!</v>
      </c>
      <c r="EV18" s="66" t="str">
        <f>AND('Conciliación Bancaria'!K115,"AAAAAGf/Xpc=")</f>
        <v>#VALUE!</v>
      </c>
      <c r="EW18" s="66" t="str">
        <f>AND('Conciliación Bancaria'!L115,"AAAAAGf/Xpg=")</f>
        <v>#VALUE!</v>
      </c>
      <c r="EX18" s="66" t="str">
        <f>AND('Conciliación Bancaria'!M115,"AAAAAGf/Xpk=")</f>
        <v>#VALUE!</v>
      </c>
      <c r="EY18" s="66" t="str">
        <f>IF('Conciliación Bancaria'!$A116:$IU116,"AAAAAGf/Xpo=",0)</f>
        <v>#VALUE!</v>
      </c>
      <c r="EZ18" s="66" t="str">
        <f>IF('Conciliación Bancaria'!$A117:$IU117,"AAAAAGf/Xps=",0)</f>
        <v>#VALUE!</v>
      </c>
      <c r="FA18" s="66" t="str">
        <f>IF("N",'Conciliación Bancaria'!Print_Titles,"AAAAAGf/Xpw=")</f>
        <v>#VALUE!</v>
      </c>
    </row>
    <row r="19" ht="12.75" customHeight="1">
      <c r="A19" s="66" t="str">
        <f>IF("N",'Conciliación Bancaria'!Print_Titles,"AAAAAGv+lgA=")</f>
        <v>#VALUE!</v>
      </c>
    </row>
    <row r="20" ht="12.75" customHeight="1">
      <c r="A20" s="66" t="str">
        <f>IF("N",'Conciliación Bancaria'!Print_Titles,"AAAAAHvfvQA=")</f>
        <v>#VALUE!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